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320" windowHeight="12120" tabRatio="936" activeTab="0"/>
  </bookViews>
  <sheets>
    <sheet name="Toelichting Herstel NE5R" sheetId="1" r:id="rId1"/>
    <sheet name="Aanpassing gegevens" sheetId="2" r:id="rId2"/>
    <sheet name="Berekening x-factor Westland" sheetId="3" r:id="rId3"/>
    <sheet name="x-factor" sheetId="4" r:id="rId4"/>
    <sheet name="Eindinkomsten" sheetId="5" r:id="rId5"/>
    <sheet name="Productiviteit" sheetId="6" r:id="rId6"/>
    <sheet name="Kosten" sheetId="7" r:id="rId7"/>
    <sheet name="SO" sheetId="8" r:id="rId8"/>
    <sheet name="Wegingsfactoren" sheetId="9" r:id="rId9"/>
    <sheet name="Rekenvolumes" sheetId="10" r:id="rId10"/>
    <sheet name="Volumes" sheetId="11" r:id="rId11"/>
    <sheet name="EAV (incl RV)" sheetId="12" r:id="rId12"/>
    <sheet name="PAV (incl RV)" sheetId="13" r:id="rId13"/>
    <sheet name="ORV Lokale Heffingen" sheetId="14" r:id="rId14"/>
    <sheet name="ORV Waterkruisingen" sheetId="15" r:id="rId15"/>
    <sheet name="Omzetting capaciteitstarief" sheetId="16" r:id="rId16"/>
    <sheet name="CPI en WACC"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tnref1" localSheetId="12">'PAV (incl RV)'!$C$43</definedName>
    <definedName name="afwijking">#REF!</definedName>
    <definedName name="AS2DocOpenMode" hidden="1">"AS2DocumentEdit"</definedName>
    <definedName name="beta0">#REF!</definedName>
    <definedName name="beta1">#REF!</definedName>
    <definedName name="CODE">'[7]Adresgegevens'!$D$7</definedName>
    <definedName name="cpi">#REF!</definedName>
    <definedName name="CPI_2005">'[3]Database'!$D$13</definedName>
    <definedName name="cpi2000">#REF!</definedName>
    <definedName name="cpi2001" localSheetId="2">#REF!</definedName>
    <definedName name="cpi2001" localSheetId="0">#REF!</definedName>
    <definedName name="CPI2001">'CPI en WACC'!$C$7</definedName>
    <definedName name="cpi2002" localSheetId="2">#REF!</definedName>
    <definedName name="cpi2002" localSheetId="0">#REF!</definedName>
    <definedName name="CPI2002">'CPI en WACC'!$C$8</definedName>
    <definedName name="cpi2003" localSheetId="2">#REF!</definedName>
    <definedName name="cpi2003" localSheetId="0">#REF!</definedName>
    <definedName name="CPI2003">'CPI en WACC'!$C$9</definedName>
    <definedName name="CPI2004">'CPI en WACC'!$C$10</definedName>
    <definedName name="CPI2005">'CPI en WACC'!$C$11</definedName>
    <definedName name="CPI2006">'CPI en WACC'!$C$12</definedName>
    <definedName name="CPI2007">'CPI en WACC'!$C$13</definedName>
    <definedName name="CPI2008">'CPI en WACC'!$C$14</definedName>
    <definedName name="CPI2009">'CPI en WACC'!$C$15</definedName>
    <definedName name="CPI2010">'CPI en WACC'!$C$16</definedName>
    <definedName name="CPIv2000n2001">'CPI en WACC'!$C$22</definedName>
    <definedName name="CPIv2000n2002">'CPI en WACC'!$C$23</definedName>
    <definedName name="CPIv2000n2003">'CPI en WACC'!$C$24</definedName>
    <definedName name="CPIv2000n2004">'CPI en WACC'!$C$25</definedName>
    <definedName name="CPIv2000n2005">'CPI en WACC'!$C$26</definedName>
    <definedName name="CPIv2000n2006">'CPI en WACC'!$C$27</definedName>
    <definedName name="CPIv2000n2007">'CPI en WACC'!$C$28</definedName>
    <definedName name="CPIv2000n2008">'CPI en WACC'!$C$29</definedName>
    <definedName name="CPIv2000n2009">'CPI en WACC'!$C$30</definedName>
    <definedName name="CPIv2000n2010">'CPI en WACC'!$C$31</definedName>
    <definedName name="CPIv2001n2002">'CPI en WACC'!$D$23</definedName>
    <definedName name="CPIv2001n2003">'CPI en WACC'!$D$24</definedName>
    <definedName name="CPIv2001n2004">'CPI en WACC'!$D$25</definedName>
    <definedName name="CPIv2001n2005">'CPI en WACC'!$D$26</definedName>
    <definedName name="CPIv2001n2006">'CPI en WACC'!$D$27</definedName>
    <definedName name="CPIv2001n2007">'CPI en WACC'!$D$28</definedName>
    <definedName name="CPIv2001n2008">'CPI en WACC'!$D$29</definedName>
    <definedName name="CPIv2001n2009">'CPI en WACC'!$D$30</definedName>
    <definedName name="CPIv2001n2010">'CPI en WACC'!$D$31</definedName>
    <definedName name="CPIv2002n2003">'CPI en WACC'!$E$24</definedName>
    <definedName name="CPIv2002n2004">'CPI en WACC'!$E$25</definedName>
    <definedName name="CPIv2002n2005">'CPI en WACC'!$E$26</definedName>
    <definedName name="CPIv2002n2006">'CPI en WACC'!$E$27</definedName>
    <definedName name="CPIv2002n2007">'CPI en WACC'!$E$28</definedName>
    <definedName name="CPIv2002n2008">'CPI en WACC'!$E$29</definedName>
    <definedName name="CPIv2002n2009">'CPI en WACC'!$E$30</definedName>
    <definedName name="CPIv2002n2010">'CPI en WACC'!$E$31</definedName>
    <definedName name="CPIv2003n2004">'CPI en WACC'!$F$25</definedName>
    <definedName name="CPIv2003n2005">'CPI en WACC'!$F$26</definedName>
    <definedName name="CPIv2003n2006">'CPI en WACC'!$F$27</definedName>
    <definedName name="CPIv2003n2007">'CPI en WACC'!$F$28</definedName>
    <definedName name="CPIv2003n2008">'CPI en WACC'!$F$29</definedName>
    <definedName name="CPIv2003n2009">'CPI en WACC'!$F$30</definedName>
    <definedName name="CPIv2003n2010">'CPI en WACC'!$F$31</definedName>
    <definedName name="CPIv2004n2005">'CPI en WACC'!$G$26</definedName>
    <definedName name="CPIv2004n2006">'CPI en WACC'!$G$27</definedName>
    <definedName name="CPIv2004n2007">'CPI en WACC'!$G$28</definedName>
    <definedName name="CPIv2004n2008">'CPI en WACC'!$G$29</definedName>
    <definedName name="CPIv2004n2009">'CPI en WACC'!$G$30</definedName>
    <definedName name="CPIv2004n2010">'CPI en WACC'!$G$31</definedName>
    <definedName name="CPIv2005n2006">'CPI en WACC'!$H$27</definedName>
    <definedName name="CPIv2005n2007">'CPI en WACC'!$H$28</definedName>
    <definedName name="CPIv2005n2008">'CPI en WACC'!$H$29</definedName>
    <definedName name="CPIv2005n2009">'CPI en WACC'!$H$30</definedName>
    <definedName name="CPIv2005n2010">'CPI en WACC'!$H$31</definedName>
    <definedName name="CPIv2006n2007">'CPI en WACC'!$I$28</definedName>
    <definedName name="CPIv2006n2008">'CPI en WACC'!$I$29</definedName>
    <definedName name="CPIv2006n2009">'CPI en WACC'!$I$30</definedName>
    <definedName name="CPIv2006n2010">'CPI en WACC'!$I$31</definedName>
    <definedName name="CPIv2007n2008">'CPI en WACC'!$J$29</definedName>
    <definedName name="CPIv2007n2009">'CPI en WACC'!$J$30</definedName>
    <definedName name="CPIv2007n2010">'CPI en WACC'!$J$31</definedName>
    <definedName name="CPIv2008n2009">'CPI en WACC'!$K$30</definedName>
    <definedName name="CPIv2008n2010">'CPI en WACC'!$K$31</definedName>
    <definedName name="CPIv2009n2010" localSheetId="13">'[1]CPI&amp;WACC'!$I$27</definedName>
    <definedName name="CPIv2009n2010" localSheetId="14">'[1]CPI&amp;WACC'!$I$27</definedName>
    <definedName name="CPIv2009n2010">'CPI en WACC'!$L$31</definedName>
    <definedName name="eur">#REF!</definedName>
    <definedName name="factor">#REF!</definedName>
    <definedName name="fik">'[4]cockpit'!$B$9</definedName>
    <definedName name="NAAM_NE">'[6]Toegestane Omzet'!$M$1</definedName>
    <definedName name="NAAM_VOL">'[7]Adresgegevens'!$D$8</definedName>
    <definedName name="omzet_2000_aanpas_kolom">#REF!</definedName>
    <definedName name="omzet_2000_kolom">#REF!</definedName>
    <definedName name="omzet_2001_kolom">#REF!</definedName>
    <definedName name="PB">'[7]Adresgegevens'!$D$9</definedName>
    <definedName name="PC">'[7]Adresgegevens'!$D$10</definedName>
    <definedName name="PLAATS">'[7]Adresgegevens'!$D$11</definedName>
    <definedName name="PR_ME_2000">'[6]Toegestane Omzet'!#REF!</definedName>
    <definedName name="required_x">#REF!</definedName>
    <definedName name="tarief_factor">#REF!</definedName>
    <definedName name="test">#REF!</definedName>
    <definedName name="wacc">'[5]Data'!#REF!</definedName>
    <definedName name="wacc_exc_tax">'[2]constants'!$E$3</definedName>
    <definedName name="wacc_inc_tax">'[5]constants'!$E$4</definedName>
    <definedName name="WACC2001">'CPI en WACC'!$D$7</definedName>
    <definedName name="WACC2002">'CPI en WACC'!$D$8</definedName>
    <definedName name="WACC2003">'CPI en WACC'!$D$9</definedName>
    <definedName name="WACC2004">'CPI en WACC'!$D$10</definedName>
    <definedName name="WACC2005">'CPI en WACC'!$D$11</definedName>
    <definedName name="WACC2006">'CPI en WACC'!$D$12</definedName>
    <definedName name="WACC2007">'CPI en WACC'!$D$13</definedName>
    <definedName name="WACC2008">'CPI en WACC'!$D$14</definedName>
    <definedName name="WACC2009" localSheetId="13">'[1]CPI&amp;WACC'!$D$12</definedName>
    <definedName name="WACC2009" localSheetId="14">'[1]CPI&amp;WACC'!$D$12</definedName>
    <definedName name="WACC2009">'CPI en WACC'!$D$15</definedName>
    <definedName name="WACC2010">'CPI en WACC'!$D$16</definedName>
    <definedName name="WACC2011" localSheetId="2">'[9]CPI en WACC'!$D$17</definedName>
    <definedName name="WACC2011" localSheetId="0">'[9]CPI en WACC'!$D$17</definedName>
    <definedName name="WACC2011">'CPI en WACC'!$D$17</definedName>
    <definedName name="WACC2011_2013">'[1]CPI&amp;WACC'!$D$14</definedName>
  </definedNames>
  <calcPr fullCalcOnLoad="1"/>
</workbook>
</file>

<file path=xl/comments10.xml><?xml version="1.0" encoding="utf-8"?>
<comments xmlns="http://schemas.openxmlformats.org/spreadsheetml/2006/main">
  <authors>
    <author>Paul Adriaansen</author>
  </authors>
  <commentList>
    <comment ref="B236" authorId="0">
      <text>
        <r>
          <rPr>
            <sz val="8"/>
            <rFont val="Tahoma"/>
            <family val="2"/>
          </rPr>
          <t>Deze getallen betreffen de 'rekenvolumes na standaardisatie' zoals deze gebruikt worden voor de berekening van de wegingsfactoren.  De rekenvolumes voor PAV naar individuele categorisering zijn opgenomen op het blad 'PAV (incl RV)'</t>
        </r>
        <r>
          <rPr>
            <sz val="8"/>
            <rFont val="Tahoma"/>
            <family val="0"/>
          </rPr>
          <t xml:space="preserve">
</t>
        </r>
      </text>
    </comment>
    <comment ref="B247" authorId="0">
      <text>
        <r>
          <rPr>
            <sz val="8"/>
            <rFont val="Tahoma"/>
            <family val="2"/>
          </rPr>
          <t>Deze getallen betreffen de 'rekenvolumes na standaardisatie' zoals deze gebruikt worden voor de berekening van de wegingsfactoren.  De rekenvolumes voor EAV naar individuele categorisering zijn opgenomen op het blad 'EAV (incl RV)'</t>
        </r>
        <r>
          <rPr>
            <sz val="8"/>
            <rFont val="Tahoma"/>
            <family val="0"/>
          </rPr>
          <t xml:space="preserve">
</t>
        </r>
      </text>
    </comment>
  </commentList>
</comments>
</file>

<file path=xl/comments11.xml><?xml version="1.0" encoding="utf-8"?>
<comments xmlns="http://schemas.openxmlformats.org/spreadsheetml/2006/main">
  <authors>
    <author>Paul Adriaansen</author>
    <author>Luuk Spee</author>
  </authors>
  <commentList>
    <comment ref="S79" authorId="0">
      <text>
        <r>
          <rPr>
            <sz val="8"/>
            <rFont val="Tahoma"/>
            <family val="0"/>
          </rPr>
          <t>Cijfers gecorrigeerd voor afwijkende duur LT.
Bron: Berekening x-factor NE4R.</t>
        </r>
      </text>
    </comment>
    <comment ref="S80" authorId="0">
      <text>
        <r>
          <rPr>
            <sz val="8"/>
            <rFont val="Tahoma"/>
            <family val="0"/>
          </rPr>
          <t>Cijfers gecorrigeerd voor afwijkende duur LT.
Bron: Berekening x-factor NE4R.</t>
        </r>
      </text>
    </comment>
    <comment ref="S88" authorId="1">
      <text>
        <r>
          <rPr>
            <sz val="8"/>
            <rFont val="Tahoma"/>
            <family val="0"/>
          </rPr>
          <t>Cijfers gecorrigeerd voor afwijkende duur LT.
Bron: Berekening x-factor NE4R.</t>
        </r>
      </text>
    </comment>
    <comment ref="S98" authorId="1">
      <text>
        <r>
          <rPr>
            <sz val="8"/>
            <rFont val="Tahoma"/>
            <family val="0"/>
          </rPr>
          <t>Cijfers gecorrigeerd voor afwijkende duur LT.
Bron: Berekening x-factor NE4R.</t>
        </r>
      </text>
    </comment>
    <comment ref="S89" authorId="1">
      <text>
        <r>
          <rPr>
            <sz val="8"/>
            <rFont val="Tahoma"/>
            <family val="0"/>
          </rPr>
          <t>Cijfers gecorrigeerd voor afwijkende duur LT.
Bron: Berekening x-factor NE4R.</t>
        </r>
      </text>
    </comment>
    <comment ref="S99" authorId="1">
      <text>
        <r>
          <rPr>
            <sz val="8"/>
            <rFont val="Tahoma"/>
            <family val="2"/>
          </rPr>
          <t>Cijfers gecorrigeerd voor afwijkende duur LT.
Bron: Berekening x-factor NE4R.</t>
        </r>
      </text>
    </comment>
  </commentList>
</comments>
</file>

<file path=xl/comments13.xml><?xml version="1.0" encoding="utf-8"?>
<comments xmlns="http://schemas.openxmlformats.org/spreadsheetml/2006/main">
  <authors>
    <author>Buys-Trimp</author>
  </authors>
  <commentList>
    <comment ref="AF95" authorId="0">
      <text>
        <r>
          <rPr>
            <sz val="8"/>
            <rFont val="Tahoma"/>
            <family val="0"/>
          </rPr>
          <t>Gewogen gemiddelde van EMIX en EWUZ</t>
        </r>
      </text>
    </comment>
  </commentList>
</comments>
</file>

<file path=xl/comments2.xml><?xml version="1.0" encoding="utf-8"?>
<comments xmlns="http://schemas.openxmlformats.org/spreadsheetml/2006/main">
  <authors>
    <author>padriaansen</author>
  </authors>
  <commentList>
    <comment ref="E62" authorId="0">
      <text>
        <r>
          <rPr>
            <sz val="8"/>
            <rFont val="Tahoma"/>
            <family val="0"/>
          </rPr>
          <t>Reeds aangepast i.v.m. doorwerking AI DNWB</t>
        </r>
      </text>
    </comment>
    <comment ref="G25" authorId="0">
      <text>
        <r>
          <rPr>
            <sz val="8"/>
            <rFont val="Tahoma"/>
            <family val="2"/>
          </rPr>
          <t>Aanpassing wordt slechts toegepast op 6 maanden aangezien de AI (conform RAR) verondersteld wordt te zijn gedaan op 1 juli 2009.</t>
        </r>
      </text>
    </comment>
  </commentList>
</comments>
</file>

<file path=xl/comments4.xml><?xml version="1.0" encoding="utf-8"?>
<comments xmlns="http://schemas.openxmlformats.org/spreadsheetml/2006/main">
  <authors>
    <author>padriaansen</author>
  </authors>
  <commentList>
    <comment ref="L17" authorId="0">
      <text>
        <r>
          <rPr>
            <sz val="8"/>
            <rFont val="Tahoma"/>
            <family val="2"/>
          </rPr>
          <t>Alternatieve berekening.</t>
        </r>
      </text>
    </comment>
  </commentList>
</comments>
</file>

<file path=xl/comments7.xml><?xml version="1.0" encoding="utf-8"?>
<comments xmlns="http://schemas.openxmlformats.org/spreadsheetml/2006/main">
  <authors>
    <author>padriaansen</author>
  </authors>
  <commentList>
    <comment ref="F92" authorId="0">
      <text>
        <r>
          <rPr>
            <sz val="8"/>
            <rFont val="Tahoma"/>
            <family val="0"/>
          </rPr>
          <t>Aangepast ivm toerekening OPEX aan AI (DCO) EN verrekening van inkomsten door factureatie van niet-gecontracteerd verbruik</t>
        </r>
      </text>
    </comment>
    <comment ref="F96" authorId="0">
      <text>
        <r>
          <rPr>
            <sz val="8"/>
            <rFont val="Tahoma"/>
            <family val="0"/>
          </rPr>
          <t>Aangepast ivm toerekening OPEX aan AI (DCO)</t>
        </r>
      </text>
    </comment>
    <comment ref="F109" authorId="0">
      <text>
        <r>
          <rPr>
            <sz val="8"/>
            <rFont val="Tahoma"/>
            <family val="0"/>
          </rPr>
          <t>Aangepast ivm verlenging AI voor DNWB</t>
        </r>
      </text>
    </comment>
    <comment ref="I96" authorId="0">
      <text>
        <r>
          <rPr>
            <sz val="8"/>
            <rFont val="Tahoma"/>
            <family val="0"/>
          </rPr>
          <t>Aangepast ivm vergoeding van uitgekeerde bedragen tegemoetkomingsregeling via nacalculatie</t>
        </r>
      </text>
    </comment>
    <comment ref="H53" authorId="0">
      <text>
        <r>
          <rPr>
            <sz val="8"/>
            <rFont val="Tahoma"/>
            <family val="2"/>
          </rPr>
          <t>Nieuwe resultaten uit kapitaalkostenberekening op basis van aangepaste gegevens voor investeringen software</t>
        </r>
      </text>
    </comment>
    <comment ref="E10" authorId="0">
      <text>
        <r>
          <rPr>
            <sz val="8"/>
            <rFont val="Tahoma"/>
            <family val="2"/>
          </rPr>
          <t>Verrekening voor inkomsten uit facturatie van niet-gecontracteerd verbruik</t>
        </r>
        <r>
          <rPr>
            <sz val="8"/>
            <rFont val="Tahoma"/>
            <family val="0"/>
          </rPr>
          <t xml:space="preserve">
</t>
        </r>
      </text>
    </comment>
    <comment ref="F10" authorId="0">
      <text>
        <r>
          <rPr>
            <sz val="8"/>
            <rFont val="Tahoma"/>
            <family val="2"/>
          </rPr>
          <t>Verrekening voor inkomsten uit facturatie van niet-gecontracteerd verbruik</t>
        </r>
        <r>
          <rPr>
            <sz val="8"/>
            <rFont val="Tahoma"/>
            <family val="0"/>
          </rPr>
          <t xml:space="preserve">
</t>
        </r>
      </text>
    </comment>
    <comment ref="I10" authorId="0">
      <text>
        <r>
          <rPr>
            <sz val="8"/>
            <rFont val="Tahoma"/>
            <family val="2"/>
          </rPr>
          <t>Verrekening voor inkomsten uit facturatie van niet-gecontracteerd verbruik</t>
        </r>
        <r>
          <rPr>
            <sz val="8"/>
            <rFont val="Tahoma"/>
            <family val="0"/>
          </rPr>
          <t xml:space="preserve">
</t>
        </r>
      </text>
    </comment>
    <comment ref="K10" authorId="0">
      <text>
        <r>
          <rPr>
            <sz val="8"/>
            <rFont val="Tahoma"/>
            <family val="2"/>
          </rPr>
          <t>Verrekening voor inkomsten uit facturatie van niet-gecontracteerd verbruik</t>
        </r>
        <r>
          <rPr>
            <sz val="8"/>
            <rFont val="Tahoma"/>
            <family val="0"/>
          </rPr>
          <t xml:space="preserve">
</t>
        </r>
      </text>
    </comment>
    <comment ref="E37" authorId="0">
      <text>
        <r>
          <rPr>
            <sz val="8"/>
            <rFont val="Tahoma"/>
            <family val="2"/>
          </rPr>
          <t>Verrekening voor inkomsten uit facturatie van niet-gecontracteerd verbruik</t>
        </r>
        <r>
          <rPr>
            <sz val="8"/>
            <rFont val="Tahoma"/>
            <family val="0"/>
          </rPr>
          <t xml:space="preserve">
</t>
        </r>
      </text>
    </comment>
    <comment ref="F37" authorId="0">
      <text>
        <r>
          <rPr>
            <sz val="8"/>
            <rFont val="Tahoma"/>
            <family val="2"/>
          </rPr>
          <t>Verrekening voor inkomsten uit facturatie van niet-gecontracteerd verbruik</t>
        </r>
        <r>
          <rPr>
            <sz val="8"/>
            <rFont val="Tahoma"/>
            <family val="0"/>
          </rPr>
          <t xml:space="preserve">
</t>
        </r>
      </text>
    </comment>
    <comment ref="I37" authorId="0">
      <text>
        <r>
          <rPr>
            <sz val="8"/>
            <rFont val="Tahoma"/>
            <family val="2"/>
          </rPr>
          <t>Verrekening voor inkomsten uit facturatie van niet-gecontracteerd verbruik</t>
        </r>
        <r>
          <rPr>
            <sz val="8"/>
            <rFont val="Tahoma"/>
            <family val="0"/>
          </rPr>
          <t xml:space="preserve">
</t>
        </r>
      </text>
    </comment>
    <comment ref="K37" authorId="0">
      <text>
        <r>
          <rPr>
            <sz val="8"/>
            <rFont val="Tahoma"/>
            <family val="2"/>
          </rPr>
          <t>Verrekening voor inkomsten uit facturatie van niet-gecontracteerd verbruik</t>
        </r>
        <r>
          <rPr>
            <sz val="8"/>
            <rFont val="Tahoma"/>
            <family val="0"/>
          </rPr>
          <t xml:space="preserve">
</t>
        </r>
      </text>
    </comment>
    <comment ref="E64" authorId="0">
      <text>
        <r>
          <rPr>
            <sz val="8"/>
            <rFont val="Tahoma"/>
            <family val="2"/>
          </rPr>
          <t>Verrekening voor inkomsten uit facturatie van niet-gecontracteerd verbruik</t>
        </r>
        <r>
          <rPr>
            <sz val="8"/>
            <rFont val="Tahoma"/>
            <family val="0"/>
          </rPr>
          <t xml:space="preserve">
</t>
        </r>
      </text>
    </comment>
    <comment ref="F64" authorId="0">
      <text>
        <r>
          <rPr>
            <sz val="8"/>
            <rFont val="Tahoma"/>
            <family val="2"/>
          </rPr>
          <t>Verrekening voor inkomsten uit facturatie van niet-gecontracteerd verbruik</t>
        </r>
        <r>
          <rPr>
            <sz val="8"/>
            <rFont val="Tahoma"/>
            <family val="0"/>
          </rPr>
          <t xml:space="preserve">
</t>
        </r>
      </text>
    </comment>
    <comment ref="I64" authorId="0">
      <text>
        <r>
          <rPr>
            <sz val="8"/>
            <rFont val="Tahoma"/>
            <family val="2"/>
          </rPr>
          <t>Verrekening voor inkomsten uit facturatie van niet-gecontracteerd verbruik</t>
        </r>
        <r>
          <rPr>
            <sz val="8"/>
            <rFont val="Tahoma"/>
            <family val="0"/>
          </rPr>
          <t xml:space="preserve">
</t>
        </r>
      </text>
    </comment>
    <comment ref="K64" authorId="0">
      <text>
        <r>
          <rPr>
            <sz val="8"/>
            <rFont val="Tahoma"/>
            <family val="2"/>
          </rPr>
          <t>Verrekening voor inkomsten uit facturatie van niet-gecontracteerd verbruik</t>
        </r>
        <r>
          <rPr>
            <sz val="8"/>
            <rFont val="Tahoma"/>
            <family val="0"/>
          </rPr>
          <t xml:space="preserve">
</t>
        </r>
      </text>
    </comment>
    <comment ref="E92" authorId="0">
      <text>
        <r>
          <rPr>
            <sz val="8"/>
            <rFont val="Tahoma"/>
            <family val="2"/>
          </rPr>
          <t>Verrekening voor inkomsten uit facturatie van niet-gecontracteerd verbruik</t>
        </r>
        <r>
          <rPr>
            <sz val="8"/>
            <rFont val="Tahoma"/>
            <family val="0"/>
          </rPr>
          <t xml:space="preserve">
</t>
        </r>
      </text>
    </comment>
    <comment ref="H92" authorId="0">
      <text>
        <r>
          <rPr>
            <sz val="8"/>
            <rFont val="Tahoma"/>
            <family val="2"/>
          </rPr>
          <t>Verrekening voor inkomsten uit facturatie van niet-gecontracteerd verbruik</t>
        </r>
        <r>
          <rPr>
            <sz val="8"/>
            <rFont val="Tahoma"/>
            <family val="0"/>
          </rPr>
          <t xml:space="preserve">
</t>
        </r>
      </text>
    </comment>
    <comment ref="I92" authorId="0">
      <text>
        <r>
          <rPr>
            <sz val="8"/>
            <rFont val="Tahoma"/>
            <family val="2"/>
          </rPr>
          <t>Verrekening voor inkomsten uit facturatie van niet-gecontracteerd verbruik</t>
        </r>
        <r>
          <rPr>
            <sz val="8"/>
            <rFont val="Tahoma"/>
            <family val="0"/>
          </rPr>
          <t xml:space="preserve">
</t>
        </r>
      </text>
    </comment>
    <comment ref="K92" authorId="0">
      <text>
        <r>
          <rPr>
            <sz val="8"/>
            <rFont val="Tahoma"/>
            <family val="2"/>
          </rPr>
          <t>Verrekening voor inkomsten uit facturatie van niet-gecontracteerd verbruik</t>
        </r>
        <r>
          <rPr>
            <sz val="8"/>
            <rFont val="Tahoma"/>
            <family val="0"/>
          </rPr>
          <t xml:space="preserve">
</t>
        </r>
      </text>
    </comment>
    <comment ref="H81" authorId="0">
      <text>
        <r>
          <rPr>
            <sz val="8"/>
            <rFont val="Tahoma"/>
            <family val="2"/>
          </rPr>
          <t>Nieuwe resultaten uit kapitaalkostenberekening op basis van aangepaste gegevens voor investeringen software</t>
        </r>
      </text>
    </comment>
    <comment ref="H109" authorId="0">
      <text>
        <r>
          <rPr>
            <sz val="8"/>
            <rFont val="Tahoma"/>
            <family val="2"/>
          </rPr>
          <t>Nieuwe resultaten uit kapitaalkostenberekening op basis van aangepaste gegevens voor investeringen software</t>
        </r>
      </text>
    </comment>
    <comment ref="J13" authorId="0">
      <text>
        <r>
          <rPr>
            <sz val="8"/>
            <rFont val="Tahoma"/>
            <family val="2"/>
          </rPr>
          <t>Aanpassing gegevens op basis van gewijzigde opgave OPEX (t.a.v. kosten fysieke meteropname)</t>
        </r>
        <r>
          <rPr>
            <sz val="8"/>
            <rFont val="Tahoma"/>
            <family val="0"/>
          </rPr>
          <t xml:space="preserve">
</t>
        </r>
      </text>
    </comment>
    <comment ref="J19" authorId="0">
      <text>
        <r>
          <rPr>
            <sz val="8"/>
            <rFont val="Tahoma"/>
            <family val="2"/>
          </rPr>
          <t>Aanpassing gegevens op basis van gewijzigde opgave OPEX (t.a.v. kosten fysieke meteropname)</t>
        </r>
        <r>
          <rPr>
            <sz val="8"/>
            <rFont val="Tahoma"/>
            <family val="0"/>
          </rPr>
          <t xml:space="preserve">
</t>
        </r>
      </text>
    </comment>
    <comment ref="J41" authorId="0">
      <text>
        <r>
          <rPr>
            <sz val="8"/>
            <rFont val="Tahoma"/>
            <family val="2"/>
          </rPr>
          <t>Aanpassing gegevens op basis van gewijzigde opgave OPEX (t.a.v. kosten fysieke meteropname)</t>
        </r>
        <r>
          <rPr>
            <sz val="8"/>
            <rFont val="Tahoma"/>
            <family val="0"/>
          </rPr>
          <t xml:space="preserve">
</t>
        </r>
      </text>
    </comment>
    <comment ref="J68" authorId="0">
      <text>
        <r>
          <rPr>
            <sz val="8"/>
            <rFont val="Tahoma"/>
            <family val="2"/>
          </rPr>
          <t>Aanpassing gegevens op basis van gewijzigde opgave OPEX (t.a.v. kosten fysieke meteropname)</t>
        </r>
        <r>
          <rPr>
            <sz val="8"/>
            <rFont val="Tahoma"/>
            <family val="0"/>
          </rPr>
          <t xml:space="preserve">
</t>
        </r>
      </text>
    </comment>
    <comment ref="J96" authorId="0">
      <text>
        <r>
          <rPr>
            <sz val="8"/>
            <rFont val="Tahoma"/>
            <family val="2"/>
          </rPr>
          <t>Aanpassing gegevens op basis van gewijzigde opgave OPEX (t.a.v. kosten fysieke meteropname)</t>
        </r>
        <r>
          <rPr>
            <sz val="8"/>
            <rFont val="Tahoma"/>
            <family val="0"/>
          </rPr>
          <t xml:space="preserve">
</t>
        </r>
      </text>
    </comment>
  </commentList>
</comments>
</file>

<file path=xl/comments8.xml><?xml version="1.0" encoding="utf-8"?>
<comments xmlns="http://schemas.openxmlformats.org/spreadsheetml/2006/main">
  <authors>
    <author>padriaansen</author>
  </authors>
  <commentList>
    <comment ref="M36" authorId="0">
      <text>
        <r>
          <rPr>
            <sz val="8"/>
            <rFont val="Tahoma"/>
            <family val="0"/>
          </rPr>
          <t>Berekening verwijderd: SO invoeding niet langer opgenomen in berekening.</t>
        </r>
      </text>
    </comment>
    <comment ref="M45" authorId="0">
      <text>
        <r>
          <rPr>
            <sz val="8"/>
            <rFont val="Tahoma"/>
            <family val="0"/>
          </rPr>
          <t>Berekening verwijderd: SO invoeding niet langer opgenomen in berekening.</t>
        </r>
      </text>
    </comment>
  </commentList>
</comments>
</file>

<file path=xl/sharedStrings.xml><?xml version="1.0" encoding="utf-8"?>
<sst xmlns="http://schemas.openxmlformats.org/spreadsheetml/2006/main" count="4763" uniqueCount="604">
  <si>
    <t>De herstelde gegevens worden tevens inzichtlijk gemaakt op het blad Aanpassing gegevens in deze berekening.</t>
  </si>
  <si>
    <t>1. Het verwijderen van uitgekeerde bedragen tegemoetkomingsregeling (Liander in het jaar 2009) die in de OPEX waren verwerkt, aangezien deze kosten via een correctie van de tarieven worden vergoed.</t>
  </si>
  <si>
    <t>3. Het salderen van inkomsten uit gefactureerd verbruik met de kosten voor inkoopkosten energie en vermogen (diverse netbeheerders in de jaren 2006 t/m 2009) voor zover dit niet reeds was gesaldeerd.</t>
  </si>
  <si>
    <t>2. Het verwijderen van operationele kosten en kapitaalkosten die toerekenbaar zijn aan de meetdienst (Enexis en RENDO  in de jaren 2006 t/m 2009).</t>
  </si>
  <si>
    <t>Met onderhavig besluit corrigeert de Raad ten opzichte van de voorgaande x/q/rv-besluiten enkele foutieve gegevens. Dit betreffen:</t>
  </si>
  <si>
    <t>Aanpassing gegevens: voor DNWB worden de kosten gerelateerd aan de AI (OPEX en CAPEX) voor zover deze in 2009 aanwezig waren buiten de maatstaf gehouden</t>
  </si>
  <si>
    <t>Aanpassing: verwijderen van uitgekeerde bedragen tegemoetkomingsregeling</t>
  </si>
  <si>
    <t>Vernieuwde Kapitaalkostensheet NE5R (eveneens tegelijkertijd met dit bestand gepubliceerd), productiviteitsdata 2009 en de beoordeling van het AI-voorstel van DNWB (kenmerk: 103377)</t>
  </si>
  <si>
    <t>Gestandaardiseerde Economische Kosten 2006 excl ORV</t>
  </si>
  <si>
    <t>Gestandaardiseerde Economische Kosten 2007 excl ORV</t>
  </si>
  <si>
    <t>Gestandaardiseerde Economische Kosten 2008 excl ORV</t>
  </si>
  <si>
    <t>Gestandaardiseerde Economische Kosten 2009 excl ORV</t>
  </si>
  <si>
    <t>Inkomsten niet vastrecht 2010 + PAV - Nacalculatie 2010</t>
  </si>
  <si>
    <t>Efficiënte kosten per output 2013</t>
  </si>
  <si>
    <t>Kosten 2009 exclusief ORV</t>
  </si>
  <si>
    <t>Kosten 2009 inclusief EAV</t>
  </si>
  <si>
    <t>Blindvermogen</t>
  </si>
  <si>
    <t>kVArh blindvermogen MS en hoger</t>
  </si>
  <si>
    <t>kVArh blindvermogen lager dan MS</t>
  </si>
  <si>
    <t>t/m 1*6A op geschakeld net</t>
  </si>
  <si>
    <t>Daarnaast worden de rekencapaciteiten weergegeven op basis waarvan de rekenvolumes voor het kV tarief tot stand zijn gekomen</t>
  </si>
  <si>
    <t>Rekencapaciteit</t>
  </si>
  <si>
    <t>Berekening wegingsfactoren voor invoeding</t>
  </si>
  <si>
    <t>Berekende of overgenomen waarde en tevens resultaat</t>
  </si>
  <si>
    <t>Afgeleide rekenvolumes</t>
  </si>
  <si>
    <t>Kleinverbruikers (t/m 3*80 A op LS) rekenvolumes voor kW tarief</t>
  </si>
  <si>
    <t>ORV Meerkosten Waterkruisingen 2009 (in prijspeil 2010)</t>
  </si>
  <si>
    <t>Geschatte ORV Meerkosten Waterkruisingen 2013</t>
  </si>
  <si>
    <t>Meerkosten ORV Waterkruisingen als % van efficiënte kosten plus ORV W.K.</t>
  </si>
  <si>
    <t>Gemiddeld aandeel meerkosten ORV W.K. in tot. efficiënte kosten (incl. ORV W.K.)</t>
  </si>
  <si>
    <t>ORV Meerkosten Waterkruisingen</t>
  </si>
  <si>
    <t>Buitengewone lasten artikel 16</t>
  </si>
  <si>
    <t>&gt;3*250A en t/m 3*400A af sec. zijde LS</t>
  </si>
  <si>
    <t>&gt;3*200A en t/m 3*250A af sec. zijde LS</t>
  </si>
  <si>
    <t>&gt;3*80A en t/m 3*200A af sec. zijde LS</t>
  </si>
  <si>
    <t>1*6A geschakeld net</t>
  </si>
  <si>
    <t>3-10 MVA</t>
  </si>
  <si>
    <t>PAV meerlengte  3-10 MVA</t>
  </si>
  <si>
    <t>PAV &gt; 6 t/m 10 MVA</t>
  </si>
  <si>
    <t>PAV 3 t/m 6 MVA</t>
  </si>
  <si>
    <t>&gt;3 en t/m 5,0 MVA</t>
  </si>
  <si>
    <t>Afnemers Trafo HS+TS/MS</t>
  </si>
  <si>
    <t>Enexis excl. Inframosane</t>
  </si>
  <si>
    <t>Inframosane</t>
  </si>
  <si>
    <t>Liander excl. EWR</t>
  </si>
  <si>
    <t>EMIX</t>
  </si>
  <si>
    <t>2010 op basis van Rekenvolumes</t>
  </si>
  <si>
    <t>Begininkomsten 2010 Totaal</t>
  </si>
  <si>
    <t>Gestandaardiseerde economische kosten 2009 (excl. EAV)</t>
  </si>
  <si>
    <t>Inkomsten uit EAV t/m 25 meter</t>
  </si>
  <si>
    <t>Inkomsten uit EAV &gt; 25 meter</t>
  </si>
  <si>
    <t>Efficiente kosten 2013</t>
  </si>
  <si>
    <t>ORV 2013</t>
  </si>
  <si>
    <t>Legenda celkleuren</t>
  </si>
  <si>
    <t>Berekende waarde</t>
  </si>
  <si>
    <t>€, prijspeil 2010</t>
  </si>
  <si>
    <t>€, prijspeil 2009</t>
  </si>
  <si>
    <t>%</t>
  </si>
  <si>
    <t>DNWB</t>
  </si>
  <si>
    <t>WESTLAND</t>
  </si>
  <si>
    <t>€, prijspeil 2006</t>
  </si>
  <si>
    <t>€, prijspeil 2007</t>
  </si>
  <si>
    <t>€, prijspeil 2008</t>
  </si>
  <si>
    <t>€</t>
  </si>
  <si>
    <t>ORV Lokale Heffingen 2009</t>
  </si>
  <si>
    <t>ORV Lokale Heffingen</t>
  </si>
  <si>
    <t>CAPEX</t>
  </si>
  <si>
    <t>CAPEX (o.b.v. WACC NE5R)</t>
  </si>
  <si>
    <t>ORV Kosten Lokale Heffingen</t>
  </si>
  <si>
    <t>Geschatte ORV Kosten Lokale Heffingen 2013</t>
  </si>
  <si>
    <t>ORV kosten lokale heffingen 2006</t>
  </si>
  <si>
    <t>ORV Waterkruisingen</t>
  </si>
  <si>
    <t>ORV Waterkruisingen 2006</t>
  </si>
  <si>
    <t>ORV Waterkruisingen 2007</t>
  </si>
  <si>
    <t>ORV Waterkruisingen 2008</t>
  </si>
  <si>
    <t>ORV Waterkruisingen 2009</t>
  </si>
  <si>
    <t>Eindstand GAW Waterkruisingen</t>
  </si>
  <si>
    <t>Afschrijvingen Waterkruisingen</t>
  </si>
  <si>
    <t>ORV Kosten Waterkruisingen</t>
  </si>
  <si>
    <t>Gemiddeld aandeel kosten ORV L.H. in totale efficiënte kosten (incl. ORV L.H.)</t>
  </si>
  <si>
    <t>Kosten ORV Waterkruisingen in 2009</t>
  </si>
  <si>
    <t>Geschatte kosten ORV Waterkruisingen 2013 (obv ORV 2010)</t>
  </si>
  <si>
    <t>Significantietoets ORV Waterkruisingen (o.b.v. kosten 2009)</t>
  </si>
  <si>
    <t>Kosten ORV Lokale Heffingen als % van efficiënte kosten plus ORV L.H.</t>
  </si>
  <si>
    <t>Totale sectorkosten 2009 (excl. ORV's, o.b.v. WACC2009)</t>
  </si>
  <si>
    <t>€ '000</t>
  </si>
  <si>
    <t>ORV Lokale Heffingen 2006</t>
  </si>
  <si>
    <t>€ '000,  prijspeil 2006</t>
  </si>
  <si>
    <t>Eindstand GAW Precario Afkoop</t>
  </si>
  <si>
    <t>Afschrijvingen Precario Afkoop</t>
  </si>
  <si>
    <t>ORV Lokale Heffingen 2007</t>
  </si>
  <si>
    <t>€ '000,  prijspeil 2007</t>
  </si>
  <si>
    <t>ORV Lokale Heffingen 2008</t>
  </si>
  <si>
    <t>€ '000,  prijspeil 2008</t>
  </si>
  <si>
    <t>€ '000,  prijspeil 2009</t>
  </si>
  <si>
    <t>Geschatte kosten ORV Lokale Heffingen 2013 (obv ORV 2010)</t>
  </si>
  <si>
    <t>ORV Kosten Lokale Heffingen 2009 (in prijspeil 2010)</t>
  </si>
  <si>
    <t>€ '000,  prijspeil 2010</t>
  </si>
  <si>
    <t>Significantietoets ORV Lokale Heffingen (o.b.v. kosten 2009)</t>
  </si>
  <si>
    <t>CAPEX (o.b.v. WACC2009 t.b.v. significantietoets)</t>
  </si>
  <si>
    <t>Kosten ORV Lokale Heffingen in 2009</t>
  </si>
  <si>
    <t>Significantietoets (één netbeheerder &gt;1% afwijking)</t>
  </si>
  <si>
    <t>Totaal OPEX</t>
  </si>
  <si>
    <t>Totaal CAPEX</t>
  </si>
  <si>
    <t>CAPEX (o.b.v. WACC NE5R t.b.v. productiviteit)</t>
  </si>
  <si>
    <t>Eindstand GAW</t>
  </si>
  <si>
    <t>Afschrijvingen</t>
  </si>
  <si>
    <t>Gestandaardiseerde Economische Kosten 2006 (incl. ORV)</t>
  </si>
  <si>
    <t>Kosten 2006 t.b.v. productiviteit (exclusief EAV)</t>
  </si>
  <si>
    <t>Kosten 2009 t.b.v. productiviteit (exclusief EAV)</t>
  </si>
  <si>
    <t>Kosten 2008 t.b.v. productiviteit (exclusief EAV)</t>
  </si>
  <si>
    <t>Kosten 2007 t.b.v. productiviteit (exclusief EAV)</t>
  </si>
  <si>
    <t>Gestandaardiseerde Economische Kosten 2009 (incl. ORV)</t>
  </si>
  <si>
    <t>Gestandaardiseerde Economische Kosten 2008 (incl. ORV)</t>
  </si>
  <si>
    <t>Gestandaardiseerde Economische Kosten 2007 (incl. ORV)</t>
  </si>
  <si>
    <t>Gestandaardiseerde Economische Kosten 2009 (incl. EAV)</t>
  </si>
  <si>
    <t>OPEX 2009 (incl. ORV)</t>
  </si>
  <si>
    <t>CAPEX 2009 (incl. ORV; o.b.v. WACC 2009 t.b.v. significantietoets ORV)</t>
  </si>
  <si>
    <t>Totale Sectorkosten (incl. ORV) t.b.v. significantietoets ORV</t>
  </si>
  <si>
    <t>Kosten 2009 t.b.v. eindinkomsten (inclusief EAV)</t>
  </si>
  <si>
    <t>Sectorkosten 2009 incl. EAV (t.b.v. significantietoets ORV)</t>
  </si>
  <si>
    <t>Afnemers HS (110-150 kV), incl. max 600 uur</t>
  </si>
  <si>
    <t>Invoeding TS (25-50 kV)</t>
  </si>
  <si>
    <t>Invoeding Trafo HS + TS/MS</t>
  </si>
  <si>
    <t>Invoeding MS (1-20 kV) - Transport</t>
  </si>
  <si>
    <t>Invoeding MS (1-20 kV) - Distributie</t>
  </si>
  <si>
    <t>Invoeding Trafo MS/LS</t>
  </si>
  <si>
    <t>Wegingsfactoren</t>
  </si>
  <si>
    <t>Productiviteitsverandering gestandaardiseerde kosten</t>
  </si>
  <si>
    <t>Inschatting totale kosten per netvlak (excl. Vastrecht)</t>
  </si>
  <si>
    <t>Samengestelde wegingsfactor incl bovenliggende netvlakken</t>
  </si>
  <si>
    <t>Inschatting van kosten voor invoeding per netvlak o.b.v. cascadering</t>
  </si>
  <si>
    <t>NE5R - Standaardisatie</t>
  </si>
  <si>
    <t>Standaardisatie op basis van aansluitcapaciteit (&gt; 2,4 MVA) of op basis van technische omschrijving van de tariefcategorie.</t>
  </si>
  <si>
    <t>Afnemers TS (25-50 kV), incl. max 600 uur</t>
  </si>
  <si>
    <t>Afnemers Trafo HS+TS/MS, incl. max 600 uur</t>
  </si>
  <si>
    <t>Totale volumes kWgecontracteerd per netvlak</t>
  </si>
  <si>
    <t>x-factor</t>
  </si>
  <si>
    <t>x-factor onafgerond</t>
  </si>
  <si>
    <t>COGAS</t>
  </si>
  <si>
    <t>STEDIN</t>
  </si>
  <si>
    <t>ENEXIS</t>
  </si>
  <si>
    <t>LIANDER</t>
  </si>
  <si>
    <t>RENDO</t>
  </si>
  <si>
    <t>Begininkomsten 2010</t>
  </si>
  <si>
    <t>TOTAAL</t>
  </si>
  <si>
    <t>Eindinkomsten 2013</t>
  </si>
  <si>
    <t>x-factor vijfde reguleringsperiode</t>
  </si>
  <si>
    <t>Eindinkomsten</t>
  </si>
  <si>
    <t>Efficiënte kosten 2010</t>
  </si>
  <si>
    <t>PV2010-2013</t>
  </si>
  <si>
    <t>ORV 2009</t>
  </si>
  <si>
    <t>Productiviteitsmeting</t>
  </si>
  <si>
    <t>Kostendata</t>
  </si>
  <si>
    <t>Gestandaardiseerde Economische Kosten 2006</t>
  </si>
  <si>
    <t>Outputdata</t>
  </si>
  <si>
    <t>Gestandaardiseerde Economische Kosten 2007</t>
  </si>
  <si>
    <t>Gestandaardiseerde Economische Kosten 2008</t>
  </si>
  <si>
    <t>Gestandaardiseerde Economische Kosten 2009</t>
  </si>
  <si>
    <t>PV 2007</t>
  </si>
  <si>
    <t>PV 2008</t>
  </si>
  <si>
    <t>PV 2009</t>
  </si>
  <si>
    <t>Gestandaardiseerde Economische Kosten</t>
  </si>
  <si>
    <t>Inkoop transport bij hoger en/of naastgelegen netbeheerder</t>
  </si>
  <si>
    <t xml:space="preserve">Inkoop energie en vermogen </t>
  </si>
  <si>
    <t>Overige inkoopkosten voor de gereguleerde activiteiten ex artikel 16</t>
  </si>
  <si>
    <t>totaal van inkopen</t>
  </si>
  <si>
    <t>Personeelskosten</t>
  </si>
  <si>
    <t>Kosten uitbesteed werk en andere externe kosten</t>
  </si>
  <si>
    <t>Bijzondere waardeverminderingen</t>
  </si>
  <si>
    <t>Kosten wettelijke reserve inzake art 16 O&amp;O-kosten</t>
  </si>
  <si>
    <t>Precario</t>
  </si>
  <si>
    <t>Overige kosten</t>
  </si>
  <si>
    <t>totaal bedrijfslasten ex afschrijvingen</t>
  </si>
  <si>
    <t>Volumes</t>
  </si>
  <si>
    <t>CPI en WACC</t>
  </si>
  <si>
    <t>OPEX</t>
  </si>
  <si>
    <t>ONS</t>
  </si>
  <si>
    <t>Inkoop transport bij landelijk netbeheerder</t>
  </si>
  <si>
    <t>Inkoop transport bij regionale netbeheerder</t>
  </si>
  <si>
    <t>Dotaties aan dan wel vrijval van voorzieningen</t>
  </si>
  <si>
    <t>Samengestelde Output</t>
  </si>
  <si>
    <t>SO2006</t>
  </si>
  <si>
    <t>SO2007</t>
  </si>
  <si>
    <t>SO2008</t>
  </si>
  <si>
    <t>SO2009</t>
  </si>
  <si>
    <t>Tarieven 2010</t>
  </si>
  <si>
    <t>Nacalculatiebedragen 2010 in prijzen 2010</t>
  </si>
  <si>
    <t>Inkomsten vastrecht 2010</t>
  </si>
  <si>
    <t>Tarieven 2010 gecorrigeerd voor nacalculaties</t>
  </si>
  <si>
    <t>Rekenvolumina</t>
  </si>
  <si>
    <t>CPI</t>
  </si>
  <si>
    <t>cpi-tabel</t>
  </si>
  <si>
    <t>naar\van</t>
  </si>
  <si>
    <t>Jaarlijkse cpi en wacc</t>
  </si>
  <si>
    <t>WACC</t>
  </si>
  <si>
    <t>EWR</t>
  </si>
  <si>
    <t>EWUZ</t>
  </si>
  <si>
    <t>Afnemers HS (110-150 kV)</t>
  </si>
  <si>
    <t>Vastrecht transportdienst</t>
  </si>
  <si>
    <t>kW gecontracteerd per jaar</t>
  </si>
  <si>
    <t>kW max per maand</t>
  </si>
  <si>
    <t>kWh tarief normaal</t>
  </si>
  <si>
    <t>kVArh blindvermogen</t>
  </si>
  <si>
    <t>Afnemers HS (110-150 kV) maximaal 600 uur per jaar</t>
  </si>
  <si>
    <t>kW max per week</t>
  </si>
  <si>
    <t>Afnemers TS (25-50 kV)</t>
  </si>
  <si>
    <t>Afnemers TS (25-50 kV) maximaal 600 uur per jaar</t>
  </si>
  <si>
    <t xml:space="preserve">Afnemers Trafo HS+TS/MS </t>
  </si>
  <si>
    <t>Afnemers Trafo HS+TS/MS maximaal 600 uur per jaar</t>
  </si>
  <si>
    <t>Afnemers MS (1-20 kV) - TRANSPORT</t>
  </si>
  <si>
    <t>kW gecontracteerd</t>
  </si>
  <si>
    <t>Afnemers MS (1-20 kV) - DISTRIBUTIE</t>
  </si>
  <si>
    <t>Afnemers Trafo MS/LS</t>
  </si>
  <si>
    <t xml:space="preserve">Afnemers LS </t>
  </si>
  <si>
    <t>&gt;3*80A t/m 630kVA</t>
  </si>
  <si>
    <t>MS en &gt;MS</t>
  </si>
  <si>
    <t>Geen verdere standaardisatie. Categorie is reeds uniform.</t>
  </si>
  <si>
    <t>Standaardisatie op basis van aansluitcapaciteit.</t>
  </si>
  <si>
    <t xml:space="preserve">Standaardisatie op basis van aansluitcapaciteit (&gt;630 kVA). </t>
  </si>
  <si>
    <t xml:space="preserve">Standaardisatie op basis van aansluitcapaciteit (&gt;630 kVA) of op basis van technische omschrijving van de tariefcategorie. </t>
  </si>
  <si>
    <t>kWh tarief laag</t>
  </si>
  <si>
    <t>Afnemers &gt; 3 * 25 A  (DT)</t>
  </si>
  <si>
    <t>Afnemers &gt; 3* 25 A  (ET)</t>
  </si>
  <si>
    <t>kWh tarief enkel</t>
  </si>
  <si>
    <t>Afnemers &lt; 3* 25 A  (DT)</t>
  </si>
  <si>
    <t>Afnemers &lt; 3* 25 A  (ET)</t>
  </si>
  <si>
    <t>Periodieke aansluitvergoeding</t>
  </si>
  <si>
    <t>OV</t>
  </si>
  <si>
    <t>Eenmalige aansluitvergoeding</t>
  </si>
  <si>
    <t>Meerlengte</t>
  </si>
  <si>
    <t>Invoeding</t>
  </si>
  <si>
    <t>Afnemers LS geschakeld (1 * 6 A)</t>
  </si>
  <si>
    <t>Transportdienst</t>
  </si>
  <si>
    <t>Rekenvolumina 2011-2013</t>
  </si>
  <si>
    <t>Kleinverbruikers (t/m 3*80 A op LS)</t>
  </si>
  <si>
    <t>Vastrecht transportdienst t/m 1*6A LS geschakeld</t>
  </si>
  <si>
    <t>Vastrecht transportdienst t/m 3*80A op LS</t>
  </si>
  <si>
    <t>Kleinverbruikers (t/m 3*80 A op LS) capaciteitstarieven per afnemerscategorie</t>
  </si>
  <si>
    <t>t/m 1*6A op het geschakeld net</t>
  </si>
  <si>
    <t>t/m 3*25A + alle 1-fase aansluitingen2</t>
  </si>
  <si>
    <t>&gt; 3*25A t/m 3*35A</t>
  </si>
  <si>
    <t>&gt; 3*35A t/m 3*50A</t>
  </si>
  <si>
    <t>&gt; 3*50A t/m 3*63A</t>
  </si>
  <si>
    <t>&gt; 3*63A t/m 3*80A</t>
  </si>
  <si>
    <t>nieuwe indeling als gevolg van capaciteitstarief - tarieven 2010</t>
  </si>
  <si>
    <t>Wegingsfactor 2010</t>
  </si>
  <si>
    <t/>
  </si>
  <si>
    <t>Omzetting naar volumes capaciteitstarief op basis van volumes zoals opgegeven bij tarievenvoorstel 2009</t>
  </si>
  <si>
    <t>Factoren voor omzetten naar capaciteitstariefindeling</t>
  </si>
  <si>
    <t>(= gefactureerde volumes 2009)</t>
  </si>
  <si>
    <t>(linkerdeel formule)</t>
  </si>
  <si>
    <t>(rechterdeel formule)</t>
  </si>
  <si>
    <t>(verschil)</t>
  </si>
  <si>
    <t>SO2010</t>
  </si>
  <si>
    <t>Gedoogbelasting</t>
  </si>
  <si>
    <t>MOSA</t>
  </si>
  <si>
    <t>Afnemers EHS/HS (&gt;=110 kV)</t>
  </si>
  <si>
    <t>t/m 1*6 A</t>
  </si>
  <si>
    <t>Afnemers EHS/HS (&gt;=110 kV)   ( &gt; 10 MVA maatwerk HS aansluiting)</t>
  </si>
  <si>
    <t>t/m 3*25A</t>
  </si>
  <si>
    <t xml:space="preserve">&gt;3,0 MVA en t/m 10 MVA     </t>
  </si>
  <si>
    <t>&gt; 1*6A t/m 3*25A</t>
  </si>
  <si>
    <t>Afnemers TS (25-50)   (30 MVA maatwerk aansluiting)</t>
  </si>
  <si>
    <t>&gt;3*25A en t/m 3*50A</t>
  </si>
  <si>
    <t xml:space="preserve">&gt;=1,0 MW en t/m 3 MVA   </t>
  </si>
  <si>
    <t>Afnemers Trafo HS + TS/MS</t>
  </si>
  <si>
    <t>Afnemers Trafo HS + TS/MS (&gt;2 MW t/m 10 MVA)</t>
  </si>
  <si>
    <t>&gt; 3*25A t/m 3*80A</t>
  </si>
  <si>
    <t>Aansl. cap. &gt; 6 MVA t/m 10 MVA  - ( indien aansl &gt; 10 MVA: maatwerk p.a.v.))</t>
  </si>
  <si>
    <t>&gt;3*50A en t/m 3*80A</t>
  </si>
  <si>
    <t>&gt;3*1500A en t/m 3*1600 A af sec zijde LS</t>
  </si>
  <si>
    <t>Afnemers MS (1-20 kV) - Transport</t>
  </si>
  <si>
    <t>&gt; 3*80A t/m 175 kVA</t>
  </si>
  <si>
    <t>Aansl. cap. &gt;1750 kVA t/m 6 MVA</t>
  </si>
  <si>
    <t>Afnemers MS (&gt; 3 MW )</t>
  </si>
  <si>
    <t>&gt;3*80A en t/m 100 kVA af sec zijde trafo</t>
  </si>
  <si>
    <t>Afnemers MS (1-20 kV) - Transport (&gt; 2.0 MVA tot 10 MVA)</t>
  </si>
  <si>
    <t>&gt;3*1200A en t/m 3*1500 A af sec zijde LS</t>
  </si>
  <si>
    <t>Afnemers MS (1-20 kV) - Distributie (&gt; 1,2 MVA t/m 3,0  MVA)</t>
  </si>
  <si>
    <t>Afnemers MS (1-20 kV) - Distributie (&gt;0,2 MW t/m 2 MW)</t>
  </si>
  <si>
    <t>&gt; 175kVA t/m 1750kVA</t>
  </si>
  <si>
    <t>Aansl. cap. &gt;173 kVA t/m 1750 kVA</t>
  </si>
  <si>
    <t>Afnemers MS (&gt; 3x250A t/m 3 MW)</t>
  </si>
  <si>
    <t>&gt;100 kVA en t/m 160 kVA af sec zijde trafo</t>
  </si>
  <si>
    <t>Afnemers MS (1-20 kV) - Distributie (&gt; 1,2 MVA t/m 2,0 MVA)</t>
  </si>
  <si>
    <t>&gt;3*750A en t/m 3*1200 A af sec zijde LS</t>
  </si>
  <si>
    <t>Afnemers Trafo MS/LS (&gt;0,15 MVA t/m 1,2 MVA)</t>
  </si>
  <si>
    <t>Afnemers Trafo MS/LS (&gt;50 kW t/m 0,2 MW)</t>
  </si>
  <si>
    <t>&gt; 1.750kVA t/m 3.000kVA</t>
  </si>
  <si>
    <t>Aansl. cap. &gt; 3x80A t/m 3x250A (173 kVA)</t>
  </si>
  <si>
    <t>Afnemers Trafo MS/LS (&gt; 3x63A t/m 3x250A)</t>
  </si>
  <si>
    <t>&gt;160 kVA en t/m 630 kVA met LS meting</t>
  </si>
  <si>
    <t>Afnemers Trafo MS/LS (0,15MVA t/m 1,2MVA)</t>
  </si>
  <si>
    <t>&gt;3*500A en t/m 3*750 A af sec zijde LS</t>
  </si>
  <si>
    <t>Afnemers LS (&gt;3*80A  t/m  3*225A)</t>
  </si>
  <si>
    <t>Afnemers LS (&gt; 3*80A t/m 50 kW)</t>
  </si>
  <si>
    <t>&gt; 3.000kVA t/m 10.000kVA</t>
  </si>
  <si>
    <t>Afnemers LS</t>
  </si>
  <si>
    <t>Aansl. cap. &gt; 3x80A t/m 3x250A (173 kVA) fysiek aangesloten op LS</t>
  </si>
  <si>
    <t>&gt;630 kVA en t/m 1000 kVA met LS meting</t>
  </si>
  <si>
    <t>Afnemers LS (&gt;3x80A t/m 3x225A)</t>
  </si>
  <si>
    <t>&gt;3*480A en t/m 3*500 A af sec zijde LS</t>
  </si>
  <si>
    <t>Afnemers &gt; 3*25A  t/m  3*80A  DT</t>
  </si>
  <si>
    <t>Afnemers &gt; 3 x 25A DT (&gt;3*25A t/m 3*80A)</t>
  </si>
  <si>
    <t>Afnemers &gt; 3 x 25A DT (doorlaatwaarde &gt;3x25A t/m 3x80A aangesloten op ls net)</t>
  </si>
  <si>
    <t>Afnemers &gt; 3 * 25 A  (DT) (&gt; 3x25A t/m 3x63A)</t>
  </si>
  <si>
    <t>&gt;1000 kVA en t/m 2,0 MVA</t>
  </si>
  <si>
    <t>Afnemers &gt; 3x25A t/m 3x80A DT</t>
  </si>
  <si>
    <t>&gt;3*400A en t/m 3*480 A af sec zijde LS</t>
  </si>
  <si>
    <t>Afnemers &gt; 3*25A t/m 3*80A ET</t>
  </si>
  <si>
    <t>Afnemers &gt; 3 x 25A ET (&gt;3*25A t/m 3*80A)</t>
  </si>
  <si>
    <t>Afnemers &gt; 3 x 25A ET (doorlaatwaarde &gt;3x25A t/m 3x80A aangesloten op ls net)</t>
  </si>
  <si>
    <t>Afnemers &gt; 3 * 25 A  (ET) (&gt; 3x25A t/m 3x63A)</t>
  </si>
  <si>
    <t>&gt;2 MVA en t/m 5,0 MVA</t>
  </si>
  <si>
    <t>Afnemers &gt; 3x25A t/m 3x80A ET</t>
  </si>
  <si>
    <t>PV gestandaardiseerde kosten 2006-2009</t>
  </si>
  <si>
    <t xml:space="preserve">&gt;3*250A en t/m 3*400 A af sec zijde LS  </t>
  </si>
  <si>
    <t>Afnemers &gt;  1* 6A  t/m 3* 25A DT</t>
  </si>
  <si>
    <t>Afnemers &gt; 1*6A DT (&gt; 1*6A t/m 3*25A)</t>
  </si>
  <si>
    <t>Afnemers t/m 3 x 25A DT (doorlaatwaarde t/m 3x25A aangesloten op ls net)</t>
  </si>
  <si>
    <t>Afnemers &lt; 3 * 25 A  (DT) (&gt; 1x6A t/m 3x25A)</t>
  </si>
  <si>
    <t>&gt;5 MVA en t/m 10,0 MVA</t>
  </si>
  <si>
    <t>Afnemers 0  t/m 3x25A en 1x40A DT</t>
  </si>
  <si>
    <t xml:space="preserve">&gt;3*200A en t/m 3*250 A af sec zijde LS </t>
  </si>
  <si>
    <t>Afnemers &gt;  1* 6A  t/m 3* 25A ET</t>
  </si>
  <si>
    <t>Afnemers &gt; 1*6A ET (&gt; 1*6A t/m 3*25A)</t>
  </si>
  <si>
    <t>Afnemers t/m 3 x 25A ET (doorlaatwaarde t/m 3x25A aangesloten op ls net)</t>
  </si>
  <si>
    <t>Afnemers &lt; 3 * 25 A  (ET) (&gt; 1x6A t/m 3x25A)</t>
  </si>
  <si>
    <t>t/m 1 x 6A op geschakeld net</t>
  </si>
  <si>
    <t>Afnemers 0  t/m 3x25A en 1x40A ET</t>
  </si>
  <si>
    <t xml:space="preserve">&gt;3*80A en t/m 3*200 A af sec zijde LS       </t>
  </si>
  <si>
    <t>Afnemers 0 t/m 1* 6A  (OV)</t>
  </si>
  <si>
    <t>Afnemers t/m 1 x 6A geschakeld net</t>
  </si>
  <si>
    <t>Afnemers t/m 6A (geschakeld ls net)</t>
  </si>
  <si>
    <t>Afnemers LS geschakeld (t/m 1x6A)</t>
  </si>
  <si>
    <t>Afnemers 0 t/m 1x6A LS geschakeld</t>
  </si>
  <si>
    <t xml:space="preserve">&gt;3*63A en t/m 3*80A           </t>
  </si>
  <si>
    <t xml:space="preserve">&gt;3*50A en t/m 3*63A         </t>
  </si>
  <si>
    <t>&gt;3*35A en t/m 3*50A</t>
  </si>
  <si>
    <t>&gt;3*25A en t/m 3*35A</t>
  </si>
  <si>
    <t>LS &amp; Trafo MS/LS</t>
  </si>
  <si>
    <t xml:space="preserve">&gt; 1*6A en t/m 3*25A  </t>
  </si>
  <si>
    <t>MS</t>
  </si>
  <si>
    <t>t/m 1*6A (geschakeld net)</t>
  </si>
  <si>
    <t>&gt;MS</t>
  </si>
  <si>
    <t>tarief</t>
  </si>
  <si>
    <t>volume</t>
  </si>
  <si>
    <t>t/m 1 x 6A geschakeld net</t>
  </si>
  <si>
    <t>t/m 3*25 A</t>
  </si>
  <si>
    <t>&gt;3*25A t/m 3*80A</t>
  </si>
  <si>
    <t xml:space="preserve">&gt;2,4 MVA en t/m 10 MVA     </t>
  </si>
  <si>
    <t xml:space="preserve">&gt;=1,0 MW en t/m 2,4 MVA   </t>
  </si>
  <si>
    <t xml:space="preserve">Afnemers MS (&gt; 3x250A t/m 3 MW) </t>
  </si>
  <si>
    <t>Afnemers Trafo MS/LS (&gt; 3x63A t/m 3x250A) aansluiting MS/LS</t>
  </si>
  <si>
    <t>Afnemers &gt; 3 * 25 A  (DT) (&gt; 3x25A t/m 3x80A aangesloten op ls)</t>
  </si>
  <si>
    <t>Afnemers &gt; 3 * 25 A  (ET)  (&gt; 3x25A t/m 3x80A aangesloten op ls)</t>
  </si>
  <si>
    <t>Afnemers &lt; 3 * 25 A  (DT) (&gt; 1x6A t/m 3x25A aangesloten op ls)</t>
  </si>
  <si>
    <t>Afnemers &lt; 3 * 25 A  (ET) (&gt; 1x6A t/m 3x25A aangesloten op ls)</t>
  </si>
  <si>
    <t xml:space="preserve">&gt;1000 kVA en t/m 2 MVA </t>
  </si>
  <si>
    <t>HS</t>
  </si>
  <si>
    <t>HS &lt;600</t>
  </si>
  <si>
    <t>HS/MS</t>
  </si>
  <si>
    <t>HS/MS &lt;600</t>
  </si>
  <si>
    <t>MS/LS</t>
  </si>
  <si>
    <t>LS GV</t>
  </si>
  <si>
    <t>LS&gt; 3*25A (DT)</t>
  </si>
  <si>
    <t>LS&gt; 3*25A (ET)</t>
  </si>
  <si>
    <t>LS=&lt; 3*25A (DT)</t>
  </si>
  <si>
    <t>LS=&lt; 3*25A (ET)</t>
  </si>
  <si>
    <t>LS 1*16A (ET)</t>
  </si>
  <si>
    <t>&gt; 1*6A t/m 3*25A (voorheen &lt; 3*25A)</t>
  </si>
  <si>
    <t>&gt; 3*25A t/m 3*80A (voorheen &gt; 3*25A)</t>
  </si>
  <si>
    <t>&gt; 3*25A t/m 3*80A (voorheen LS)</t>
  </si>
  <si>
    <t>&gt; afnemers LS</t>
  </si>
  <si>
    <t>&gt;2,0 MVA t/m 5 MVA</t>
  </si>
  <si>
    <t>&gt;5.0 MVA t/m 10 MVA</t>
  </si>
  <si>
    <t>TS</t>
  </si>
  <si>
    <t>TS&lt;600</t>
  </si>
  <si>
    <t>HS/MS&lt;600</t>
  </si>
  <si>
    <t>Afnemers 1x6A (openbare verlichting)</t>
  </si>
  <si>
    <t>OMZET</t>
  </si>
  <si>
    <t>Nacalculaties 2010 die geen betrekking hebben op kosten 2010</t>
  </si>
  <si>
    <t>ORV kosten lokale heffingen 2007</t>
  </si>
  <si>
    <t>ORV kosten lokale heffingen 2008</t>
  </si>
  <si>
    <t>ORV kosten lokale heffingen 2009</t>
  </si>
  <si>
    <t>Inkomsten niet vastrecht 2010 + PAV</t>
  </si>
  <si>
    <t>Efficiënte kosten per output 2010</t>
  </si>
  <si>
    <t>ENDINET</t>
  </si>
  <si>
    <t>Samengestelde Output 2006  (transportdienst en PAV)</t>
  </si>
  <si>
    <t>Samengestelde Output 2007  (transportdienst en PAV)</t>
  </si>
  <si>
    <t>Samengestelde Output 2008  (transportdienst en PAV)</t>
  </si>
  <si>
    <t>Samengestelde Output 2009  (transportdienst en PAV)</t>
  </si>
  <si>
    <t>Rekenvolumina 2008 - 2010</t>
  </si>
  <si>
    <t>(= gefactureerde volumes 2006)</t>
  </si>
  <si>
    <t>Begininkomsten 2010 EAV</t>
  </si>
  <si>
    <t>Begininkomsten 2010 Transportdienst, PAV</t>
  </si>
  <si>
    <t>EAV t/m 25 meter</t>
  </si>
  <si>
    <t>0 t/m 1*6A  (OV)</t>
  </si>
  <si>
    <t>&gt; 1*6A  en t/m 3*25A</t>
  </si>
  <si>
    <t>&gt;3*50A en t/m 3*63A</t>
  </si>
  <si>
    <t>&gt;3*63A en t/m 3*80A</t>
  </si>
  <si>
    <t>&gt;3*80A en t/m 3*100A af sec. zijde LS-transformator</t>
  </si>
  <si>
    <t>&gt;3*100A en t/m 3*125A af sec.zijde LS-transformator</t>
  </si>
  <si>
    <t>&gt;3*125A en t/m 3*160A af sec.zijde LS-transformator</t>
  </si>
  <si>
    <t>&gt;3*160A en t/m 3*200A af sec.zijde LS-transformator</t>
  </si>
  <si>
    <t>&gt;3*200A en t/m 3*225A af sec.zijde LS-transformator</t>
  </si>
  <si>
    <t>&gt;0,15 MVA en t/m 0,63 MVA MS met  LS meting</t>
  </si>
  <si>
    <t>&gt;0,63 MVA en t/m 1,2 MVA MS met LS meting</t>
  </si>
  <si>
    <t>&gt;1,2 MVA en t/m 1,8 MVA MS met  MS meting</t>
  </si>
  <si>
    <t>&gt;1,8 MVA en t/m 2,4 MVA MS met  MS meting</t>
  </si>
  <si>
    <t>&gt;2,4 MVA en t/m 3,0 MVA MS met  MS meting</t>
  </si>
  <si>
    <t>EAV &gt; 25 meter</t>
  </si>
  <si>
    <t xml:space="preserve">t/m 1*6 A  geschakeld net </t>
  </si>
  <si>
    <t>&gt; 1*6A en t/m 3*25A</t>
  </si>
  <si>
    <t>&gt;50 kW en t/m 0,2 MW af sec. zijde LS</t>
  </si>
  <si>
    <t>&gt;0,2 MW en t/m 0.6 MW, LS meting</t>
  </si>
  <si>
    <t>&gt;0,6 MW en t/m 2.0 MW, MS meting</t>
  </si>
  <si>
    <t>&gt;2,0 MVA en t/m 5 MVA</t>
  </si>
  <si>
    <t>&gt;5,0 MVA en t/m 10 MVA</t>
  </si>
  <si>
    <t>t/m 1*6 A op geschakeld net</t>
  </si>
  <si>
    <t xml:space="preserve">t/m 1*40A </t>
  </si>
  <si>
    <t>&gt; 1*40A t/m 3*25A</t>
  </si>
  <si>
    <t>&gt;3*25A en t/m 3*40A</t>
  </si>
  <si>
    <t>&gt;3*40A en t/m 3*50A</t>
  </si>
  <si>
    <t>&gt;3*80A en t/m 3*160A</t>
  </si>
  <si>
    <t>&gt;3*160A  t/m 3*250A</t>
  </si>
  <si>
    <t>&gt;3*250A (173 kVA) t/m 630 kVA</t>
  </si>
  <si>
    <t>&gt; 630 kVA t/m 1750 kVA</t>
  </si>
  <si>
    <t>&gt; 1750 kVA t/m 6 MVA</t>
  </si>
  <si>
    <t>&gt;6,0 MVA en t/m 10 MVA</t>
  </si>
  <si>
    <t>0 t/m 1*6 A aansluting op geschakeld net</t>
  </si>
  <si>
    <t>&gt;3*25A t/m 3*63A</t>
  </si>
  <si>
    <t>&gt;3*63A t/m 3*80A</t>
  </si>
  <si>
    <t>&gt;3*80 A t/m 3*160A</t>
  </si>
  <si>
    <t>&gt;3*160 A t/m 250 A</t>
  </si>
  <si>
    <t>&gt;110 kVA t/m 630 kVA</t>
  </si>
  <si>
    <t>&gt;630 kVA t/m &lt;1 MVA</t>
  </si>
  <si>
    <t>&gt;1 MVA t/m 2 MVA</t>
  </si>
  <si>
    <t>&gt;2 MVA t/m 5,0 MVA</t>
  </si>
  <si>
    <t>&gt;5,0 MVA t/m 10 MVA</t>
  </si>
  <si>
    <t>0 t/m 1x6A LS geschakeld</t>
  </si>
  <si>
    <t>0 t/m 3x25A en 1x40A</t>
  </si>
  <si>
    <t>&gt;3x25A en t/m 3x40A</t>
  </si>
  <si>
    <t>&gt;3x40A en t/m 3x50A</t>
  </si>
  <si>
    <t>&gt;3x50A en t/m 3x63A</t>
  </si>
  <si>
    <t>&gt;3x63A en t/m 3x80A</t>
  </si>
  <si>
    <t xml:space="preserve">&gt;3x80A en t/m 3x100A </t>
  </si>
  <si>
    <t xml:space="preserve">&gt;3x100A en t/m 3x125A </t>
  </si>
  <si>
    <t xml:space="preserve">&gt;3x125A en t/m 3x160A </t>
  </si>
  <si>
    <t xml:space="preserve">&gt;3x160A en t/m 3x200A </t>
  </si>
  <si>
    <t xml:space="preserve">&gt;3x200A en t/m 3x225A </t>
  </si>
  <si>
    <t>&gt;0,15 t/m 0.63 MVA met LS meting</t>
  </si>
  <si>
    <t xml:space="preserve">&gt; 0.63 MVA t/m 1.2 MVA met LS meting </t>
  </si>
  <si>
    <t>&gt; 1.2 MVA t/m 2 MVA met MS meting</t>
  </si>
  <si>
    <t>&gt; 2 MVA t/m 5 MVA met MS meting</t>
  </si>
  <si>
    <t>&gt; 5 MVA tot 10 MVA met MS meting</t>
  </si>
  <si>
    <t>1*6 A op geschakeld net</t>
  </si>
  <si>
    <t>&gt;1*6A t/m 3*25A</t>
  </si>
  <si>
    <t>&gt;3*35A en t/m 3*63A</t>
  </si>
  <si>
    <t>&gt; 3*63 A t/m 3*80A</t>
  </si>
  <si>
    <t>&gt;3*80A t/m 3*125 A</t>
  </si>
  <si>
    <t>&gt;3*125 Amp t/m 175 kVA</t>
  </si>
  <si>
    <t>&gt; 175kVA t/m 630kVA</t>
  </si>
  <si>
    <t>&gt; 630kVA t/m 1.000kVA</t>
  </si>
  <si>
    <t>&gt; 1.000kVA t/m 1.750kVA</t>
  </si>
  <si>
    <t>&gt;2,4 MVA en t/m 10 MVA</t>
  </si>
  <si>
    <t>&gt;= 1MW en t/m 2,4 MVA</t>
  </si>
  <si>
    <t>&gt;3*1500A en t/m 3*1600A af sec. zijde LS</t>
  </si>
  <si>
    <t>&gt;3*1200A en t/m 3*1500A af sec. zijde LS</t>
  </si>
  <si>
    <t>&gt;3*750A en t/m 3*1200A af sec. zijde LS</t>
  </si>
  <si>
    <t>&gt;3*500A en t/m 3*750A af sec. zijde LS</t>
  </si>
  <si>
    <t>&gt;3*480A en t/m 3*500A af sec. zijde LS</t>
  </si>
  <si>
    <t>&gt;3*400A en t/m 3*480A af sec. zijde LS</t>
  </si>
  <si>
    <t>NE5R - PAV - Tarieven 2010 en Volumes 2009 om gestandaardiseerde tarieven 2010 tbv wegingsfactor te berekenen</t>
  </si>
  <si>
    <t>NE5R - PAV - Volumes en Tarieven 2008 (alleen volumes worden gebruikt tbv SO 2008)</t>
  </si>
  <si>
    <t>NE5R - PAV - Volumes en Tarieven 2006 (alleen volumes worden gebruikt tbv SO 2006)</t>
  </si>
  <si>
    <t>NE5R - PAV - Volumes en Tarieven 2007 (alleen volumes worden gebruikt tbv SO 2007)</t>
  </si>
  <si>
    <t>NE5R - PAV - Volumes en Tarieven 2009 (alleen volumes worden gebruikt tbv SO 2009)</t>
  </si>
  <si>
    <t>CAPEX Waterkruisingen (o.b.v. WACC NE5R)</t>
  </si>
  <si>
    <t>CAPEX Meerkosten Waterkruisingen (o.b.v. WACC NE5R)</t>
  </si>
  <si>
    <t>OPEX Meerkosten Waterkruisingen</t>
  </si>
  <si>
    <t>CAPEX Meerkosten Waterkruisingen (o.b.v. WACC2009 t.b.v. significantietoets)</t>
  </si>
  <si>
    <t>2011-2013</t>
  </si>
  <si>
    <t>Aandeel in CAPEX te beschouwen als Meerkosten Waterkruisingen</t>
  </si>
  <si>
    <t>Invoeding (kW gecontracteerd per jaar)</t>
  </si>
  <si>
    <t>Volumes 2006 (TD en PAV)</t>
  </si>
  <si>
    <t>Volumes 2007 (TD en PAV)</t>
  </si>
  <si>
    <t>Volumes 2008 (TD en PAV)</t>
  </si>
  <si>
    <t>Volumes 2009 (TD, PAV, EAV en Invoeding)</t>
  </si>
  <si>
    <t>Aansluitingen t/m 25 meter</t>
  </si>
  <si>
    <t>Aansluitingen &gt; 25 meter (in meters)</t>
  </si>
  <si>
    <t>Waarde die zonder berekening wordt overgenomen uit een andere cel</t>
  </si>
  <si>
    <t>Kleinverbruikers (t/m 3*80 A op LS) capaciteitstarieven per afnemerscategorie (inclusief aanpassingen coulanceregeling)</t>
  </si>
  <si>
    <t>t/m 3*25A + alle 1-fase aansluitingen</t>
  </si>
  <si>
    <t>Aansluitingen &gt; 25 meter (per meter)</t>
  </si>
  <si>
    <t>Inschatting totale kosten per tariefcategorie Transportdienst Grootverbruik</t>
  </si>
  <si>
    <t>NE5R - EAV - Tarieven 2010 en Volumes 2009 om gestandaardiseerde tarieven 2010 tbv wegingsfactor te berekenen</t>
  </si>
  <si>
    <t>NE5R - EAV - Volumes en tarieven 2009 (volumes tbv SO 2009, volumes en tarieven tbv kosten 2009)</t>
  </si>
  <si>
    <t>Omzetting capaciteitstarief</t>
  </si>
  <si>
    <t>In het tarievenvoorstel 2009 hebben netbeheerders rekenvolumes opgegeven volgens de indeling zonder capaciteitstarief en volgens de indeling met capaciteitstarief.</t>
  </si>
  <si>
    <t>De verhouding tussen beide indelingen is gebruikt om de volumes van 2006 tot en met 2008 om te zetten naar volumes op basis van de nieuwe indeling met capaciteitstarief.</t>
  </si>
  <si>
    <t>Omschrijving</t>
  </si>
  <si>
    <t>Totaal</t>
  </si>
  <si>
    <t>Transportdienst Verbruik &gt; 3*80A</t>
  </si>
  <si>
    <t>Transportdienst Kleinverbruik t/m 3*80A (oude categorisering)</t>
  </si>
  <si>
    <t>Transportdienst Kleinverbruik t/m 3*80A (nieuwe categorisering)</t>
  </si>
  <si>
    <t>Eneco (EMIX + EWUZ)/Stedin</t>
  </si>
  <si>
    <t>Invoeding (kWmax-invoedingssaldo, max)</t>
  </si>
  <si>
    <t>Totale sectorkosten 2009 (excl. ORV's; o.b.v. WACC2009)</t>
  </si>
  <si>
    <t>Rekenvolumes EAV</t>
  </si>
  <si>
    <t>Eenmalige Aansluitvergoeding (inclusief Rekenvolumes)</t>
  </si>
  <si>
    <t>Periodieke Aansluitvergoeding (inclusief Rekenvolumes)</t>
  </si>
  <si>
    <t>Rekenvolumes PAV</t>
  </si>
  <si>
    <t>Data en input</t>
  </si>
  <si>
    <t>Waarde of berekening die speciale aandacht vraagt (toelichting in opmerking)</t>
  </si>
  <si>
    <t xml:space="preserve">Toelichting bij aanpassingen t.o.v. oorspronkelijke versie bestand </t>
  </si>
  <si>
    <t>De bladen waarop geen wijziging is aangebracht hebben een grijze kleur</t>
  </si>
  <si>
    <t>Bron: Analyse in x-factorbesluit NE4R na herstel (kenmerk 103838)</t>
  </si>
  <si>
    <t>TI-bedrag 2010 conform gecorrigeerde x-factor NE4R (= 0,3):</t>
  </si>
  <si>
    <t>TI-bedrag 2010 conform niet-gecorrigeerde x-factor NE4R (= 5,9):</t>
  </si>
  <si>
    <t>CPI van 2007 naar 2010</t>
  </si>
  <si>
    <t>Ophoging van TI in 2010 in NE4R (in prijspeil 2010)</t>
  </si>
  <si>
    <t>Correctie voor inflatie</t>
  </si>
  <si>
    <t>Berekening ophoging TI 2010</t>
  </si>
  <si>
    <t>Inschatting ophoging inkomsten niveau voor 2010</t>
  </si>
  <si>
    <t>Berekening alternatieve x-factor Westland als gevolg van continueren financeability maatregel</t>
  </si>
  <si>
    <t>Ophoging van TI in 2010 op basis van financeability-maatregel voor Westland in NE4R</t>
  </si>
  <si>
    <t>Berekening alternatieve x-factor voor Westland als gevolg van continueren financeability maatregel</t>
  </si>
  <si>
    <t>Eindinkomsten 2013 na ophoging</t>
  </si>
  <si>
    <t>Alternatieve X-factor na afronding</t>
  </si>
  <si>
    <t>Alternatieve X-factor NE5R (onafgerond)</t>
  </si>
  <si>
    <t>Eerste aanpassing: SO berekening bevat niet langer de output van invoeding</t>
  </si>
  <si>
    <t>Vierde aanpassing: voor Westland wordt een alternatieve x-factor berekend als gevolg van het continueren van de financeability maatregel uit NE4R</t>
  </si>
  <si>
    <t>De berekening van de alternatieve x-factor voor Westland en de gegevens die hierbij betrokken zijn, zijn voor de duidelijkheid opgenomen op een afzonderlijk blad ("Berekening x-factor Westland").</t>
  </si>
  <si>
    <t>Aanpassing van de kapitaalkostenberekening</t>
  </si>
  <si>
    <t xml:space="preserve">Omdat enkele van de bovenstaande wijzigingen betrekking hebben op de bepaling van de hoogte van de GAW en afschrijvingen, zijn tevens aanpassingen doorgevoerd op de kapitaalkostenberekening. </t>
  </si>
  <si>
    <t>Netbeheerder:</t>
  </si>
  <si>
    <t>Aanpassing gegevens</t>
  </si>
  <si>
    <t>Oorspronkelijk</t>
  </si>
  <si>
    <t>Aanpassing</t>
  </si>
  <si>
    <t>Nieuw</t>
  </si>
  <si>
    <t>Enexis</t>
  </si>
  <si>
    <t>Brief Enexis aan Energiekamer NMa 21 mei 2012 (kenmerken: 103779/203.B495; 12-SRA-uit-18)</t>
  </si>
  <si>
    <t>Aanpassing van gegevens in berekening x-factor</t>
  </si>
  <si>
    <t>In onderstaande overzichten is steeds een gedetailleerde uitweking gegeven van de aangepaste gegevens.</t>
  </si>
  <si>
    <t>In alle gevallen betreft het gegevens in duizenden euro's, weergegeven in het prijspeil van het jaar waarop het bedrag ziet.</t>
  </si>
  <si>
    <t>OPEX: Inkoop Energie en Vermogen</t>
  </si>
  <si>
    <t>OPEX: Kosten uitbesteed werk en andere externe kosten</t>
  </si>
  <si>
    <t>Jaar</t>
  </si>
  <si>
    <t>CAPEX: Afschrijvingen</t>
  </si>
  <si>
    <t>CAPEX: Eindstand GAW</t>
  </si>
  <si>
    <t>Aanpassing: voor Enexis worden investeringen in software voor de meetdienst in 2007-2009 uit de kapitaalkostenberekening gehaald</t>
  </si>
  <si>
    <t>Liander</t>
  </si>
  <si>
    <t>Productiviteitsdata 2009</t>
  </si>
  <si>
    <t xml:space="preserve">Bron gegevens: </t>
  </si>
  <si>
    <t>en de vernieuwde Kapitaalkostensheet NE5R (eveneens tegelijkertijd met dit bestand gepubliceerd)</t>
  </si>
  <si>
    <t>Daarnaast herstelt de Raad in deze berekening enkele foutieve gegevens die sinds de publicatie van het oorspronkelijke besluit aan het licht zijn gekomen.</t>
  </si>
  <si>
    <t>Aanpassing: saldering van inkomsten uit alsnog gefactureerd niet-gecontracteerd verbruik met kosten voor Inkoop Energie en Vermogen</t>
  </si>
  <si>
    <t>Cogas</t>
  </si>
  <si>
    <t>OPEX: Inkoop energie en vermogen</t>
  </si>
  <si>
    <t>Stedin</t>
  </si>
  <si>
    <t>Aanpassing: voor RENDO worden operationele kosten voor fysieke meteropname in 2006-2009 uit de OPEX gehaald</t>
  </si>
  <si>
    <t>Brief RENDO aan Energiekamer NMa 4 april 2012 (kenmerken: 103780_7/1.B1522; C&amp;R/IS/APM/12-0878)</t>
  </si>
  <si>
    <t>en telefoonnotitie (18 juli 2012) over toewijzing aandeel kosten aan controle op zichtbare aspecten van fraude.</t>
  </si>
  <si>
    <t>Opgave verkeerd opgegeven kosten</t>
  </si>
  <si>
    <t>Fysieke meteropname</t>
  </si>
  <si>
    <t>Toe te wijzen aan kosten voor controle op zichtbare aspecten van fraude (transportdomein):</t>
  </si>
  <si>
    <t>Bedrag</t>
  </si>
  <si>
    <t>Kosten 2006 toe te wijzen aan personeelskosten</t>
  </si>
  <si>
    <t>Kosten 2006 toe te wijzen aan uitbesteed werk en andere externe kosten</t>
  </si>
  <si>
    <t>Kosten 2006 toe te wijzen aan overige kosten</t>
  </si>
  <si>
    <t>OPEX: Personeelskosten</t>
  </si>
  <si>
    <t>OPEX: Overige kosten</t>
  </si>
  <si>
    <t xml:space="preserve">De oorspronkelijke gegevens zijn steeds gebaseerd op de x-factorberekening die gepubliceerd is op 26 november 2010 (kenmerk 103637) </t>
  </si>
  <si>
    <t xml:space="preserve">Dit Excel-bestand bevat het model waarmee de x-factoren voor regionale netbeheerders elektriciteit voor de periode 2011 tot en met 2013 worden berekend. </t>
  </si>
  <si>
    <t>De uitgebreide toelichting op deze aanpassingen is opgenomen in gewijzigde x/q/rv-besluit, de beschrijvingen hieronder zijn uitsluitend bedoeld ter verduidelijking van de doorgevoerde wijzigingen.</t>
  </si>
  <si>
    <t>Op het blad SO is de input op de regels 36 en 45 verwijderd.</t>
  </si>
  <si>
    <t>Tweede aanpassing: voor DNWB worden de kosten gerelateerd aan de AI (OPEX en CAPEX) voor zover deze in 2009 aanwezig waren buiten de maatstaf gehouden</t>
  </si>
  <si>
    <t>In het gewijzigde methodebesluit voor NE5R (besluit van 5 juni 2012, met kenmerk 104007) worden diverse aanpassingen beschreven, welke in dit bestand zijn opgenomen.</t>
  </si>
  <si>
    <t>Deze aanpassing vloeit voort uit het gewijzigde methodebesluit NE5R.</t>
  </si>
  <si>
    <t>Op het blad Kosten zijn voor DNWB de kosten van 2009 aangepast (deze aanpassing wordt tevens inzichtlijk gemaakt op het blad Aanpassing gegevens) zodat deze geen onderdeel vormen van de maatstaf en uiteindelijk via de x-factor worden vergoed.</t>
  </si>
  <si>
    <t>Toelichting bij berekening Gewijzigde x-factoren, q-factoren en rekenvolumina NE5R</t>
  </si>
  <si>
    <t>De gewijzigde kapitaalkostenberekening maakt eveneens onderdeel uit van het onderhavige gewijzigde x/q/rv-besluit voor de vijfde periode voor regionale netbeheerders elektriciteit.</t>
  </si>
  <si>
    <t xml:space="preserve">Derde aanpassing: correctie voor enkele gegevens die onderliggend zijn aan de berekening van de x-factor </t>
  </si>
  <si>
    <t>De aanpassingen gericht op de methode en het x/q/rv-besluit worden hieronder toegelicht:</t>
  </si>
  <si>
    <t>Reactie op dataverzoek NMa aan Cogas (kenmerk 103791) van 3 april 2012 en daarop volgende e-mailwisseling</t>
  </si>
  <si>
    <t>Reactie op dataverzoek NMa aan Enexis (kenmerk 103791) van 21 maart 2012 en e-mail van Enexis op 4 juli 2012</t>
  </si>
  <si>
    <t>Reacties op dataverzoek NMa van 3 april 2012 aan Liander (kenmerk 103791): brieven van Liander van 9 mei 2012 en 26 juni 2012</t>
  </si>
  <si>
    <t>Reacties op dataverzoek NMa van 3 april 2012 aan Stedin (kenmerk 103791): brieven van Stedin van 4 mei 2012 en 26 juni 2012</t>
  </si>
  <si>
    <t>Reactie (25 april 2012) op dataverzoek NMa aan DNWB (kenmerk 103791) van 3 april 2012 en daarop volgende e-mailwisseling</t>
  </si>
  <si>
    <t>De bladen waarin wijzigingen zijn aangebracht zijn weergegeven met een pastel-blauwe kleur.</t>
  </si>
  <si>
    <t>De bladen die geheel nieuw zijn, zijn weergegeven met een lavendel-kleur</t>
  </si>
  <si>
    <t>Aangepast gegevens en berekeningen zijn aangegeven met een roze kleur (plus toelichting in opmerking)</t>
  </si>
  <si>
    <t>Berekening waaruit aanpassing volgt</t>
  </si>
  <si>
    <t>Investeringsbedrag (totaal)</t>
  </si>
  <si>
    <t>Toegewezen OPEX percentage voor Inkoop E&amp;V</t>
  </si>
  <si>
    <t>Toegewezen OPEX percentage voor Overige OPEX</t>
  </si>
  <si>
    <t>Bron: onderzoek AI DNWB (kenmerk: 103377)</t>
  </si>
  <si>
    <t>Bron: PRD 2009 DNWB</t>
  </si>
  <si>
    <t>Bron: Vernieuwde Kapitaalkostensheet NE5R</t>
  </si>
  <si>
    <t>Toepassing op tweede helft 2009</t>
  </si>
  <si>
    <t>Dit bestand maakt onderdeel uit van het (gewijzigde) x/q/rv-besluit voor de vijfde periode voor regionale netbeheerders elektriciteit (besluiten van 27 augustus 2012 met kenmerk 104163).</t>
  </si>
  <si>
    <t>Dit bestand zoals dat nu tot stand is gekomen is volledig gebaseerd op de berekening voor de vaststelling van de gewijzigde X-factoren NE5R van 26 november 2010 (kenmerk 103637) behoudens de aanpassingen die onderstaand worden toegelicht.</t>
  </si>
</sst>
</file>

<file path=xl/styles.xml><?xml version="1.0" encoding="utf-8"?>
<styleSheet xmlns="http://schemas.openxmlformats.org/spreadsheetml/2006/main">
  <numFmts count="7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F&quot;\ * #,##0_-;_-&quot;F&quot;\ * #,##0\-;_-&quot;F&quot;\ * &quot;-&quot;_-;_-@_-"/>
    <numFmt numFmtId="173" formatCode="_-&quot;F&quot;\ * #,##0.00_-;_-&quot;F&quot;\ * #,##0.00\-;_-&quot;F&quot;\ * &quot;-&quot;??_-;_-@_-"/>
    <numFmt numFmtId="174" formatCode="0.00000"/>
    <numFmt numFmtId="175" formatCode="0.0"/>
    <numFmt numFmtId="176" formatCode="_-* #,##0.0000_-;_-* #,##0.0000\-;_-* &quot;-&quot;_-;_-@_-"/>
    <numFmt numFmtId="177" formatCode="0.000000"/>
    <numFmt numFmtId="178" formatCode="0.0%"/>
    <numFmt numFmtId="179" formatCode="0.0000%"/>
    <numFmt numFmtId="180" formatCode="_-* #,##0.0000_-;_-* #,##0.0000\-;_-* &quot;-&quot;????_-;_-@_-"/>
    <numFmt numFmtId="181" formatCode="#,##0.000"/>
    <numFmt numFmtId="182" formatCode="0.000"/>
    <numFmt numFmtId="183" formatCode="0_ ;\-0\ "/>
    <numFmt numFmtId="184" formatCode="_-* #,##0.00_-;_-* #,##0.00\-;_-* &quot;-&quot;_-;_-@_-"/>
    <numFmt numFmtId="185" formatCode="0.000%"/>
    <numFmt numFmtId="186" formatCode="_-* #,##0_-;_-* #,##0\-;_-* &quot;-&quot;??_-;_-@_-"/>
    <numFmt numFmtId="187" formatCode="_-* #,##0.000000_-;_-* #,##0.000000\-;_-* &quot;-&quot;_-;_-@_-"/>
    <numFmt numFmtId="188" formatCode="_-* #,##0.000000_-;_-* #,##0.000000\-;_-* &quot;-&quot;??_-;_-@_-"/>
    <numFmt numFmtId="189" formatCode="_-* #,##0.000000_-;_-* #,##0.000000\-;_-* &quot;-&quot;??????_-;_-@_-"/>
    <numFmt numFmtId="190" formatCode="0.0000"/>
    <numFmt numFmtId="191" formatCode="_-* #,##0.0_-;_-* #,##0.0\-;_-* &quot;-&quot;??_-;_-@_-"/>
    <numFmt numFmtId="192" formatCode="_-* #,##0.0_-;_-* #,##0.0\-;_-* &quot;-&quot;_-;_-@_-"/>
    <numFmt numFmtId="193" formatCode="_-* #,##0.000_-;_-* #,##0.000\-;_-* &quot;-&quot;_-;_-@_-"/>
    <numFmt numFmtId="194" formatCode="#,##0.0"/>
    <numFmt numFmtId="195" formatCode="0.00000000"/>
    <numFmt numFmtId="196" formatCode="0.0000000"/>
    <numFmt numFmtId="197" formatCode="_-* #,##0.000_-;_-* #,##0.000\-;_-* &quot;-&quot;??_-;_-@_-"/>
    <numFmt numFmtId="198" formatCode="_-* #,##0.0000_-;_-* #,##0.0000\-;_-* &quot;-&quot;??_-;_-@_-"/>
    <numFmt numFmtId="199" formatCode="_ * #,##0_ ;_ * \-#,##0_ ;_ * &quot;-&quot;_ ;_ @_ "/>
    <numFmt numFmtId="200" formatCode="#,##0.0000"/>
    <numFmt numFmtId="201" formatCode="#,##0.0000_ ;\-#,##0.0000\ "/>
    <numFmt numFmtId="202" formatCode="0.000000%"/>
    <numFmt numFmtId="203" formatCode="#,##0.00000000_ ;\-#,##0.00000000\ "/>
    <numFmt numFmtId="204" formatCode="#,##0.00_ ;\-#,##0.00\ "/>
    <numFmt numFmtId="205" formatCode="0.00000%"/>
    <numFmt numFmtId="206" formatCode="0.00000000%"/>
    <numFmt numFmtId="207" formatCode="_-* #,##0.0_-;_-* #,##0.0\-;_-* &quot;-&quot;?_-;_-@_-"/>
    <numFmt numFmtId="208" formatCode="#,##0.0_ ;\-#,##0.0\ "/>
    <numFmt numFmtId="209" formatCode="#,##0_ ;\-#,##0\ "/>
    <numFmt numFmtId="210" formatCode="_ * #,##0.00_ ;_ * \-#,##0.00_ ;_ * &quot;-&quot;??_ ;_ @_ "/>
    <numFmt numFmtId="211" formatCode="_ * #,##0.0_ ;_ * \-#,##0.0_ ;_ * &quot;-&quot;_ ;_ @_ "/>
    <numFmt numFmtId="212" formatCode="_ * #,##0.00_ ;_ * \-#,##0.00_ ;_ * &quot;-&quot;_ ;_ @_ "/>
    <numFmt numFmtId="213" formatCode="_ * #,##0.000_ ;_ * \-#,##0.000_ ;_ * &quot;-&quot;_ ;_ @_ "/>
    <numFmt numFmtId="214" formatCode="_ * #,##0.0000_ ;_ * \-#,##0.0000_ ;_ * &quot;-&quot;_ ;_ @_ "/>
    <numFmt numFmtId="215" formatCode="&quot;Ja&quot;;&quot;Ja&quot;;&quot;Nee&quot;"/>
    <numFmt numFmtId="216" formatCode="&quot;Waar&quot;;&quot;Waar&quot;;&quot;Niet waar&quot;"/>
    <numFmt numFmtId="217" formatCode="&quot;Aan&quot;;&quot;Aan&quot;;&quot;Uit&quot;"/>
    <numFmt numFmtId="218" formatCode="[$€-2]\ #.##000_);[Red]\([$€-2]\ #.##000\)"/>
    <numFmt numFmtId="219" formatCode="#,##0.0000_-;#,##0.0000\-"/>
    <numFmt numFmtId="220" formatCode="#,##0.00000_-;#,##0.00000\-"/>
    <numFmt numFmtId="221" formatCode="#,##0.000000"/>
    <numFmt numFmtId="222" formatCode="_-* #,##0.00_-;_-* #,##0.00\-;_-* &quot;-&quot;????_-;_-@_-"/>
    <numFmt numFmtId="223" formatCode="#,##0.0000;\-#,##0.0000"/>
    <numFmt numFmtId="224" formatCode="#,##0.0000000"/>
    <numFmt numFmtId="225" formatCode="#,##0.00000"/>
    <numFmt numFmtId="226" formatCode="[$-413]dddd\ d\ mmmm\ yyyy"/>
    <numFmt numFmtId="227" formatCode="&quot;€&quot;\ #,##0.000_-;[Red]&quot;€&quot;\ #,##0.000\-"/>
  </numFmts>
  <fonts count="56">
    <font>
      <sz val="10"/>
      <name val="Arial"/>
      <family val="0"/>
    </font>
    <font>
      <sz val="12"/>
      <name val="Arial"/>
      <family val="2"/>
    </font>
    <font>
      <b/>
      <sz val="16"/>
      <name val="Arial"/>
      <family val="2"/>
    </font>
    <font>
      <b/>
      <sz val="10"/>
      <name val="Arial"/>
      <family val="2"/>
    </font>
    <font>
      <sz val="8"/>
      <name val="Arial"/>
      <family val="0"/>
    </font>
    <font>
      <b/>
      <sz val="14"/>
      <name val="Arial"/>
      <family val="2"/>
    </font>
    <font>
      <sz val="8"/>
      <name val="Tahoma"/>
      <family val="0"/>
    </font>
    <font>
      <b/>
      <sz val="8"/>
      <name val="Arial"/>
      <family val="0"/>
    </font>
    <font>
      <b/>
      <i/>
      <sz val="10"/>
      <name val="Arial"/>
      <family val="0"/>
    </font>
    <font>
      <sz val="10"/>
      <color indexed="10"/>
      <name val="Arial"/>
      <family val="0"/>
    </font>
    <font>
      <sz val="8"/>
      <color indexed="10"/>
      <name val="Arial"/>
      <family val="2"/>
    </font>
    <font>
      <sz val="10"/>
      <color indexed="8"/>
      <name val="MS Sans Serif"/>
      <family val="0"/>
    </font>
    <font>
      <u val="single"/>
      <sz val="10"/>
      <color indexed="12"/>
      <name val="Arial"/>
      <family val="0"/>
    </font>
    <font>
      <b/>
      <sz val="10"/>
      <color indexed="23"/>
      <name val="Arial"/>
      <family val="2"/>
    </font>
    <font>
      <sz val="8"/>
      <name val="ScalaSans"/>
      <family val="2"/>
    </font>
    <font>
      <b/>
      <sz val="10"/>
      <color indexed="8"/>
      <name val="MS Sans Serif"/>
      <family val="2"/>
    </font>
    <font>
      <sz val="8"/>
      <color indexed="8"/>
      <name val="Arial"/>
      <family val="2"/>
    </font>
    <font>
      <b/>
      <i/>
      <sz val="10"/>
      <color indexed="10"/>
      <name val="Arial"/>
      <family val="2"/>
    </font>
    <font>
      <i/>
      <sz val="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0"/>
      <color indexed="8"/>
      <name val="Arial"/>
      <family val="2"/>
    </font>
    <font>
      <b/>
      <sz val="10"/>
      <color indexed="12"/>
      <name val="Arial"/>
      <family val="2"/>
    </font>
    <font>
      <sz val="10"/>
      <color indexed="12"/>
      <name val="Arial"/>
      <family val="2"/>
    </font>
    <font>
      <b/>
      <sz val="10"/>
      <color indexed="8"/>
      <name val="Arial"/>
      <family val="2"/>
    </font>
    <font>
      <b/>
      <i/>
      <sz val="10"/>
      <color indexed="8"/>
      <name val="Arial"/>
      <family val="2"/>
    </font>
    <font>
      <b/>
      <sz val="10"/>
      <color indexed="10"/>
      <name val="Arial"/>
      <family val="2"/>
    </font>
    <font>
      <sz val="8.5"/>
      <color indexed="8"/>
      <name val="MS Sans Serif"/>
      <family val="0"/>
    </font>
    <font>
      <sz val="8"/>
      <color indexed="12"/>
      <name val="Arial"/>
      <family val="2"/>
    </font>
    <font>
      <sz val="12"/>
      <name val="Times New Roman"/>
      <family val="1"/>
    </font>
    <font>
      <b/>
      <sz val="10"/>
      <color indexed="55"/>
      <name val="Arial"/>
      <family val="2"/>
    </font>
    <font>
      <sz val="10"/>
      <color indexed="55"/>
      <name val="Arial"/>
      <family val="2"/>
    </font>
    <font>
      <i/>
      <sz val="10"/>
      <color indexed="55"/>
      <name val="Arial"/>
      <family val="2"/>
    </font>
    <font>
      <i/>
      <sz val="10"/>
      <color indexed="8"/>
      <name val="Arial"/>
      <family val="2"/>
    </font>
    <font>
      <b/>
      <i/>
      <sz val="8"/>
      <name val="Arial"/>
      <family val="2"/>
    </font>
    <font>
      <b/>
      <sz val="8"/>
      <color indexed="8"/>
      <name val="Arial"/>
      <family val="2"/>
    </font>
    <font>
      <sz val="10"/>
      <name val="Comic Sans MS"/>
      <family val="0"/>
    </font>
    <font>
      <b/>
      <sz val="12"/>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gray125">
        <bgColor indexed="40"/>
      </patternFill>
    </fill>
    <fill>
      <patternFill patternType="solid">
        <fgColor indexed="41"/>
        <bgColor indexed="64"/>
      </patternFill>
    </fill>
    <fill>
      <patternFill patternType="gray0625">
        <bgColor indexed="22"/>
      </patternFill>
    </fill>
    <fill>
      <patternFill patternType="gray0625"/>
    </fill>
    <fill>
      <patternFill patternType="gray0625">
        <bgColor indexed="40"/>
      </patternFill>
    </fill>
    <fill>
      <patternFill patternType="gray0625">
        <bgColor indexed="42"/>
      </patternFill>
    </fill>
    <fill>
      <patternFill patternType="gray0625">
        <bgColor indexed="9"/>
      </patternFill>
    </fill>
    <fill>
      <patternFill patternType="gray0625">
        <bgColor indexed="47"/>
      </patternFill>
    </fill>
    <fill>
      <patternFill patternType="solid">
        <fgColor indexed="65"/>
        <bgColor indexed="64"/>
      </patternFill>
    </fill>
    <fill>
      <patternFill patternType="solid">
        <fgColor indexed="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93">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4" fillId="21" borderId="2" applyNumberFormat="0" applyAlignment="0" applyProtection="0"/>
    <xf numFmtId="44" fontId="0" fillId="0" borderId="0" applyFont="0" applyFill="0" applyBorder="0" applyAlignment="0" applyProtection="0"/>
    <xf numFmtId="0" fontId="25" fillId="0" borderId="0" applyNumberFormat="0" applyFill="0" applyBorder="0" applyAlignment="0" applyProtection="0"/>
    <xf numFmtId="0" fontId="32"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7" fillId="0" borderId="0">
      <alignment/>
      <protection/>
    </xf>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31" fillId="7" borderId="1" applyNumberFormat="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2" fillId="0" borderId="3" applyNumberFormat="0" applyFill="0" applyAlignment="0" applyProtection="0"/>
    <xf numFmtId="0" fontId="33" fillId="22" borderId="0" applyNumberFormat="0" applyBorder="0" applyAlignment="0" applyProtection="0"/>
    <xf numFmtId="0" fontId="33" fillId="22" borderId="0" applyNumberFormat="0" applyBorder="0" applyAlignment="0" applyProtection="0"/>
    <xf numFmtId="0" fontId="54" fillId="0" borderId="0">
      <alignment/>
      <protection/>
    </xf>
    <xf numFmtId="0" fontId="0" fillId="23" borderId="7" applyNumberFormat="0" applyFont="0" applyAlignment="0" applyProtection="0"/>
    <xf numFmtId="0" fontId="0" fillId="23" borderId="7" applyNumberFormat="0" applyFont="0" applyAlignment="0" applyProtection="0"/>
    <xf numFmtId="0" fontId="22" fillId="3" borderId="0" applyNumberFormat="0" applyBorder="0" applyAlignment="0" applyProtection="0"/>
    <xf numFmtId="0" fontId="34" fillId="20" borderId="8" applyNumberFormat="0" applyAlignment="0" applyProtection="0"/>
    <xf numFmtId="9" fontId="0" fillId="0" borderId="0" applyFont="0" applyFill="0" applyBorder="0" applyAlignment="0" applyProtection="0"/>
    <xf numFmtId="0" fontId="0" fillId="0" borderId="0">
      <alignment/>
      <protection/>
    </xf>
    <xf numFmtId="0" fontId="47"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4" fillId="20" borderId="8"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2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694">
    <xf numFmtId="0" fontId="0" fillId="0" borderId="0" xfId="0" applyAlignment="1">
      <alignment/>
    </xf>
    <xf numFmtId="0" fontId="0" fillId="24" borderId="0" xfId="0" applyFill="1" applyAlignment="1">
      <alignment/>
    </xf>
    <xf numFmtId="0" fontId="1" fillId="20" borderId="10" xfId="0" applyFont="1" applyFill="1" applyBorder="1" applyAlignment="1">
      <alignment/>
    </xf>
    <xf numFmtId="0" fontId="2" fillId="20" borderId="10" xfId="0" applyFont="1" applyFill="1" applyBorder="1" applyAlignment="1">
      <alignment/>
    </xf>
    <xf numFmtId="0" fontId="3" fillId="20" borderId="10" xfId="0" applyFont="1" applyFill="1" applyBorder="1" applyAlignment="1">
      <alignment horizontal="center" textRotation="90"/>
    </xf>
    <xf numFmtId="0" fontId="0" fillId="25" borderId="10" xfId="0" applyFont="1" applyFill="1" applyBorder="1" applyAlignment="1">
      <alignment/>
    </xf>
    <xf numFmtId="0" fontId="3" fillId="25" borderId="10" xfId="0" applyFont="1" applyFill="1" applyBorder="1" applyAlignment="1">
      <alignment horizontal="left"/>
    </xf>
    <xf numFmtId="0" fontId="0" fillId="26" borderId="10" xfId="0" applyFont="1" applyFill="1" applyBorder="1" applyAlignment="1">
      <alignment/>
    </xf>
    <xf numFmtId="41" fontId="4" fillId="27" borderId="0" xfId="0" applyNumberFormat="1" applyFont="1" applyFill="1" applyBorder="1" applyAlignment="1">
      <alignment/>
    </xf>
    <xf numFmtId="174" fontId="4" fillId="22" borderId="0" xfId="0" applyNumberFormat="1" applyFont="1" applyFill="1" applyAlignment="1">
      <alignment/>
    </xf>
    <xf numFmtId="0" fontId="5" fillId="24" borderId="10" xfId="0" applyFont="1" applyFill="1" applyBorder="1" applyAlignment="1">
      <alignment/>
    </xf>
    <xf numFmtId="175" fontId="5" fillId="27" borderId="10" xfId="0" applyNumberFormat="1" applyFont="1" applyFill="1" applyBorder="1" applyAlignment="1">
      <alignment/>
    </xf>
    <xf numFmtId="41" fontId="4" fillId="22" borderId="0" xfId="0" applyNumberFormat="1" applyFont="1" applyFill="1" applyBorder="1" applyAlignment="1">
      <alignment/>
    </xf>
    <xf numFmtId="41" fontId="4" fillId="24" borderId="0" xfId="0" applyNumberFormat="1" applyFont="1" applyFill="1" applyBorder="1" applyAlignment="1">
      <alignment/>
    </xf>
    <xf numFmtId="177" fontId="0" fillId="24" borderId="0" xfId="0" applyNumberFormat="1" applyFill="1" applyAlignment="1">
      <alignment/>
    </xf>
    <xf numFmtId="0" fontId="3" fillId="24" borderId="0" xfId="0" applyFont="1" applyFill="1" applyAlignment="1">
      <alignment/>
    </xf>
    <xf numFmtId="41" fontId="0" fillId="24" borderId="0" xfId="0" applyNumberFormat="1" applyFill="1" applyAlignment="1">
      <alignment/>
    </xf>
    <xf numFmtId="0" fontId="2" fillId="20" borderId="10" xfId="0" applyFont="1" applyFill="1" applyBorder="1" applyAlignment="1">
      <alignment wrapText="1"/>
    </xf>
    <xf numFmtId="41" fontId="4" fillId="22" borderId="0" xfId="0" applyNumberFormat="1" applyFont="1" applyFill="1" applyAlignment="1">
      <alignment/>
    </xf>
    <xf numFmtId="0" fontId="4" fillId="24" borderId="0" xfId="0" applyFont="1" applyFill="1" applyAlignment="1">
      <alignment/>
    </xf>
    <xf numFmtId="178" fontId="4" fillId="22" borderId="0" xfId="0" applyNumberFormat="1" applyFont="1" applyFill="1" applyAlignment="1">
      <alignment/>
    </xf>
    <xf numFmtId="178" fontId="4" fillId="24" borderId="0" xfId="0" applyNumberFormat="1" applyFont="1" applyFill="1" applyAlignment="1">
      <alignment/>
    </xf>
    <xf numFmtId="0" fontId="5" fillId="24" borderId="0" xfId="0" applyFont="1" applyFill="1" applyAlignment="1">
      <alignment/>
    </xf>
    <xf numFmtId="41" fontId="4" fillId="4" borderId="0" xfId="0" applyNumberFormat="1" applyFont="1" applyFill="1" applyBorder="1" applyAlignment="1">
      <alignment/>
    </xf>
    <xf numFmtId="0" fontId="11" fillId="24" borderId="0" xfId="0" applyFill="1" applyAlignment="1">
      <alignment/>
    </xf>
    <xf numFmtId="0" fontId="13" fillId="20" borderId="10" xfId="0" applyFont="1" applyFill="1" applyBorder="1" applyAlignment="1">
      <alignment horizontal="center" textRotation="90"/>
    </xf>
    <xf numFmtId="0" fontId="0" fillId="24" borderId="0" xfId="0" applyFont="1" applyFill="1" applyAlignment="1">
      <alignment/>
    </xf>
    <xf numFmtId="0" fontId="4" fillId="24" borderId="0" xfId="0" applyFont="1" applyFill="1" applyAlignment="1">
      <alignment/>
    </xf>
    <xf numFmtId="3" fontId="4" fillId="22" borderId="0" xfId="0" applyNumberFormat="1" applyFont="1" applyFill="1" applyAlignment="1">
      <alignment/>
    </xf>
    <xf numFmtId="3" fontId="4" fillId="27" borderId="0" xfId="0" applyNumberFormat="1" applyFont="1" applyFill="1" applyAlignment="1">
      <alignment/>
    </xf>
    <xf numFmtId="0" fontId="11" fillId="24" borderId="0" xfId="0" applyFont="1" applyFill="1" applyAlignment="1">
      <alignment/>
    </xf>
    <xf numFmtId="43" fontId="4" fillId="27" borderId="0" xfId="0" applyNumberFormat="1" applyFont="1" applyFill="1" applyBorder="1" applyAlignment="1">
      <alignment/>
    </xf>
    <xf numFmtId="0" fontId="11" fillId="0" borderId="0" xfId="0" applyFill="1" applyBorder="1" applyAlignment="1">
      <alignment/>
    </xf>
    <xf numFmtId="0" fontId="0" fillId="0" borderId="0" xfId="0" applyFont="1" applyFill="1" applyBorder="1" applyAlignment="1">
      <alignment/>
    </xf>
    <xf numFmtId="0" fontId="11" fillId="0" borderId="0" xfId="0" applyFont="1" applyFill="1" applyBorder="1" applyAlignment="1">
      <alignment/>
    </xf>
    <xf numFmtId="0" fontId="1" fillId="20" borderId="11" xfId="0" applyFont="1" applyFill="1" applyBorder="1" applyAlignment="1">
      <alignment/>
    </xf>
    <xf numFmtId="0" fontId="0" fillId="25" borderId="11" xfId="0" applyFont="1" applyFill="1" applyBorder="1" applyAlignment="1">
      <alignment/>
    </xf>
    <xf numFmtId="43" fontId="4" fillId="0" borderId="0" xfId="0" applyNumberFormat="1" applyFont="1" applyFill="1" applyBorder="1" applyAlignment="1">
      <alignment/>
    </xf>
    <xf numFmtId="41" fontId="16" fillId="22" borderId="0" xfId="0" applyNumberFormat="1" applyFont="1" applyFill="1" applyAlignment="1">
      <alignment/>
    </xf>
    <xf numFmtId="41" fontId="2" fillId="20" borderId="10" xfId="0" applyNumberFormat="1" applyFont="1" applyFill="1" applyBorder="1" applyAlignment="1">
      <alignment/>
    </xf>
    <xf numFmtId="41" fontId="3" fillId="20" borderId="10" xfId="0" applyNumberFormat="1" applyFont="1" applyFill="1" applyBorder="1" applyAlignment="1">
      <alignment horizontal="center" textRotation="90"/>
    </xf>
    <xf numFmtId="41" fontId="1" fillId="20" borderId="10" xfId="0" applyNumberFormat="1" applyFont="1" applyFill="1" applyBorder="1" applyAlignment="1">
      <alignment/>
    </xf>
    <xf numFmtId="41" fontId="0" fillId="25" borderId="10" xfId="0" applyNumberFormat="1" applyFont="1" applyFill="1" applyBorder="1" applyAlignment="1">
      <alignment/>
    </xf>
    <xf numFmtId="41" fontId="0" fillId="24" borderId="0" xfId="0" applyNumberFormat="1" applyFont="1" applyFill="1" applyAlignment="1">
      <alignment/>
    </xf>
    <xf numFmtId="41" fontId="0" fillId="0" borderId="0" xfId="0" applyNumberFormat="1" applyFont="1" applyFill="1" applyAlignment="1">
      <alignment/>
    </xf>
    <xf numFmtId="41" fontId="4" fillId="4" borderId="0" xfId="61" applyNumberFormat="1" applyFont="1" applyFill="1" applyBorder="1" applyAlignment="1" applyProtection="1">
      <alignment horizontal="right"/>
      <protection locked="0"/>
    </xf>
    <xf numFmtId="41" fontId="4" fillId="4" borderId="0" xfId="0" applyNumberFormat="1" applyFont="1" applyFill="1" applyBorder="1" applyAlignment="1">
      <alignment horizontal="right"/>
    </xf>
    <xf numFmtId="41" fontId="4" fillId="0" borderId="0" xfId="0" applyNumberFormat="1" applyFont="1" applyFill="1" applyBorder="1" applyAlignment="1">
      <alignment/>
    </xf>
    <xf numFmtId="41" fontId="4" fillId="0" borderId="0" xfId="82" applyNumberFormat="1" applyFont="1" applyFill="1" applyBorder="1" applyAlignment="1" applyProtection="1">
      <alignment horizontal="right"/>
      <protection/>
    </xf>
    <xf numFmtId="41" fontId="4" fillId="0" borderId="0" xfId="0" applyNumberFormat="1" applyFont="1" applyFill="1" applyBorder="1" applyAlignment="1">
      <alignment horizontal="right"/>
    </xf>
    <xf numFmtId="41" fontId="4" fillId="4" borderId="0" xfId="62" applyNumberFormat="1" applyFont="1" applyFill="1" applyBorder="1" applyAlignment="1" applyProtection="1">
      <alignment horizontal="right"/>
      <protection locked="0"/>
    </xf>
    <xf numFmtId="41" fontId="7" fillId="0" borderId="0" xfId="82" applyNumberFormat="1" applyFont="1" applyFill="1" applyBorder="1" applyAlignment="1" applyProtection="1">
      <alignment horizontal="right"/>
      <protection/>
    </xf>
    <xf numFmtId="41" fontId="4" fillId="4" borderId="0" xfId="82" applyNumberFormat="1" applyFont="1" applyFill="1" applyBorder="1" applyAlignment="1" applyProtection="1">
      <alignment horizontal="right"/>
      <protection locked="0"/>
    </xf>
    <xf numFmtId="41" fontId="4" fillId="4" borderId="0" xfId="0" applyNumberFormat="1" applyFont="1" applyFill="1" applyBorder="1" applyAlignment="1" applyProtection="1">
      <alignment horizontal="right"/>
      <protection locked="0"/>
    </xf>
    <xf numFmtId="41" fontId="4" fillId="0" borderId="0" xfId="82" applyNumberFormat="1" applyFont="1" applyFill="1" applyBorder="1" applyAlignment="1" applyProtection="1">
      <alignment horizontal="right"/>
      <protection locked="0"/>
    </xf>
    <xf numFmtId="41" fontId="4" fillId="0" borderId="0" xfId="59" applyNumberFormat="1" applyFont="1" applyFill="1" applyBorder="1" applyAlignment="1" applyProtection="1">
      <alignment horizontal="right"/>
      <protection locked="0"/>
    </xf>
    <xf numFmtId="41" fontId="4" fillId="4" borderId="0" xfId="82" applyNumberFormat="1" applyFont="1" applyFill="1" applyBorder="1" applyAlignment="1" applyProtection="1">
      <alignment horizontal="right"/>
      <protection/>
    </xf>
    <xf numFmtId="43" fontId="2" fillId="20" borderId="10" xfId="0" applyNumberFormat="1" applyFont="1" applyFill="1" applyBorder="1" applyAlignment="1">
      <alignment/>
    </xf>
    <xf numFmtId="43" fontId="1" fillId="20" borderId="10" xfId="0" applyNumberFormat="1" applyFont="1" applyFill="1" applyBorder="1" applyAlignment="1">
      <alignment/>
    </xf>
    <xf numFmtId="43" fontId="3" fillId="25" borderId="10" xfId="0" applyNumberFormat="1" applyFont="1" applyFill="1" applyBorder="1" applyAlignment="1">
      <alignment horizontal="left"/>
    </xf>
    <xf numFmtId="43" fontId="0" fillId="25" borderId="10" xfId="0" applyNumberFormat="1" applyFont="1" applyFill="1" applyBorder="1" applyAlignment="1">
      <alignment/>
    </xf>
    <xf numFmtId="43" fontId="0" fillId="0" borderId="0" xfId="0" applyNumberFormat="1" applyFont="1" applyFill="1" applyAlignment="1">
      <alignment/>
    </xf>
    <xf numFmtId="43" fontId="11" fillId="24" borderId="0" xfId="0" applyNumberFormat="1" applyFill="1" applyAlignment="1">
      <alignment/>
    </xf>
    <xf numFmtId="43" fontId="11" fillId="0" borderId="0" xfId="0" applyNumberFormat="1" applyFill="1" applyAlignment="1">
      <alignment/>
    </xf>
    <xf numFmtId="41" fontId="4" fillId="24" borderId="0" xfId="81" applyNumberFormat="1" applyFont="1" applyFill="1" applyBorder="1" applyAlignment="1" applyProtection="1">
      <alignment/>
      <protection/>
    </xf>
    <xf numFmtId="41" fontId="4" fillId="0" borderId="0" xfId="0" applyNumberFormat="1" applyFont="1" applyFill="1" applyAlignment="1">
      <alignment/>
    </xf>
    <xf numFmtId="41" fontId="4" fillId="24" borderId="0" xfId="0" applyNumberFormat="1" applyFont="1" applyFill="1" applyAlignment="1">
      <alignment/>
    </xf>
    <xf numFmtId="41" fontId="4" fillId="24" borderId="0" xfId="82" applyNumberFormat="1" applyFont="1" applyFill="1" applyBorder="1" applyAlignment="1" applyProtection="1">
      <alignment/>
      <protection/>
    </xf>
    <xf numFmtId="41" fontId="4" fillId="27" borderId="0" xfId="0" applyNumberFormat="1" applyFont="1" applyFill="1" applyAlignment="1">
      <alignment/>
    </xf>
    <xf numFmtId="41" fontId="4" fillId="0" borderId="0" xfId="0" applyNumberFormat="1" applyFont="1" applyFill="1" applyAlignment="1">
      <alignment/>
    </xf>
    <xf numFmtId="41" fontId="2" fillId="20" borderId="10" xfId="0" applyNumberFormat="1" applyFont="1" applyFill="1" applyBorder="1" applyAlignment="1">
      <alignment wrapText="1"/>
    </xf>
    <xf numFmtId="41" fontId="3" fillId="24" borderId="0" xfId="0" applyNumberFormat="1" applyFont="1" applyFill="1" applyBorder="1" applyAlignment="1">
      <alignment/>
    </xf>
    <xf numFmtId="41" fontId="7" fillId="24" borderId="0" xfId="0" applyNumberFormat="1" applyFont="1" applyFill="1" applyBorder="1" applyAlignment="1">
      <alignment horizontal="right"/>
    </xf>
    <xf numFmtId="41" fontId="0" fillId="24" borderId="0" xfId="0" applyNumberFormat="1" applyFont="1" applyFill="1" applyBorder="1" applyAlignment="1">
      <alignment/>
    </xf>
    <xf numFmtId="41" fontId="8" fillId="24" borderId="0" xfId="0" applyNumberFormat="1" applyFont="1" applyFill="1" applyBorder="1" applyAlignment="1">
      <alignment/>
    </xf>
    <xf numFmtId="41" fontId="8" fillId="24" borderId="0" xfId="0" applyNumberFormat="1" applyFont="1" applyFill="1" applyBorder="1" applyAlignment="1">
      <alignment/>
    </xf>
    <xf numFmtId="41" fontId="3" fillId="24" borderId="0" xfId="0" applyNumberFormat="1" applyFont="1" applyFill="1" applyBorder="1" applyAlignment="1">
      <alignment/>
    </xf>
    <xf numFmtId="41" fontId="9" fillId="24" borderId="0" xfId="0" applyNumberFormat="1" applyFont="1" applyFill="1" applyBorder="1" applyAlignment="1">
      <alignment/>
    </xf>
    <xf numFmtId="183" fontId="3" fillId="25" borderId="10" xfId="0" applyNumberFormat="1" applyFont="1" applyFill="1" applyBorder="1" applyAlignment="1">
      <alignment horizontal="left"/>
    </xf>
    <xf numFmtId="43" fontId="9" fillId="24" borderId="0" xfId="0" applyNumberFormat="1" applyFont="1" applyFill="1" applyAlignment="1">
      <alignment/>
    </xf>
    <xf numFmtId="3" fontId="4" fillId="0" borderId="0" xfId="0" applyNumberFormat="1" applyFont="1" applyFill="1" applyAlignment="1">
      <alignment/>
    </xf>
    <xf numFmtId="0" fontId="11" fillId="0" borderId="0" xfId="0" applyFill="1" applyAlignment="1">
      <alignment/>
    </xf>
    <xf numFmtId="3" fontId="4" fillId="0" borderId="0" xfId="0" applyNumberFormat="1" applyFont="1" applyFill="1" applyAlignment="1">
      <alignment/>
    </xf>
    <xf numFmtId="41" fontId="13" fillId="0" borderId="10" xfId="0" applyNumberFormat="1" applyFont="1" applyFill="1" applyBorder="1" applyAlignment="1">
      <alignment horizontal="center" textRotation="90"/>
    </xf>
    <xf numFmtId="0" fontId="0" fillId="0" borderId="0" xfId="0" applyFont="1" applyFill="1" applyAlignment="1">
      <alignment/>
    </xf>
    <xf numFmtId="39" fontId="14" fillId="0" borderId="0" xfId="81" applyNumberFormat="1" applyFont="1" applyFill="1" applyBorder="1" applyAlignment="1">
      <alignment/>
      <protection/>
    </xf>
    <xf numFmtId="0" fontId="0" fillId="24" borderId="0" xfId="0" applyFont="1" applyFill="1" applyAlignment="1">
      <alignment/>
    </xf>
    <xf numFmtId="0" fontId="11" fillId="0" borderId="0" xfId="0" applyAlignment="1">
      <alignment/>
    </xf>
    <xf numFmtId="41" fontId="2" fillId="0" borderId="0" xfId="0" applyNumberFormat="1" applyFont="1" applyFill="1" applyBorder="1" applyAlignment="1">
      <alignment/>
    </xf>
    <xf numFmtId="41" fontId="3" fillId="0" borderId="0" xfId="0" applyNumberFormat="1" applyFont="1" applyFill="1" applyBorder="1" applyAlignment="1">
      <alignment horizontal="center" textRotation="90"/>
    </xf>
    <xf numFmtId="41" fontId="1" fillId="0" borderId="0" xfId="0" applyNumberFormat="1" applyFont="1" applyFill="1" applyBorder="1" applyAlignment="1">
      <alignment/>
    </xf>
    <xf numFmtId="41" fontId="4" fillId="0" borderId="0" xfId="61" applyNumberFormat="1" applyFont="1" applyFill="1" applyBorder="1" applyAlignment="1" applyProtection="1">
      <alignment horizontal="right"/>
      <protection locked="0"/>
    </xf>
    <xf numFmtId="2" fontId="4" fillId="0" borderId="0" xfId="0" applyNumberFormat="1" applyFont="1" applyFill="1" applyBorder="1" applyAlignment="1">
      <alignment/>
    </xf>
    <xf numFmtId="41" fontId="17" fillId="24" borderId="0" xfId="0" applyNumberFormat="1" applyFont="1" applyFill="1" applyAlignment="1">
      <alignment/>
    </xf>
    <xf numFmtId="41" fontId="17" fillId="24" borderId="0" xfId="0" applyNumberFormat="1" applyFont="1" applyFill="1" applyBorder="1" applyAlignment="1">
      <alignment/>
    </xf>
    <xf numFmtId="0" fontId="0" fillId="0" borderId="0" xfId="0" applyFill="1" applyBorder="1" applyAlignment="1">
      <alignment/>
    </xf>
    <xf numFmtId="0" fontId="11" fillId="22" borderId="0" xfId="0" applyFill="1" applyAlignment="1">
      <alignment/>
    </xf>
    <xf numFmtId="179" fontId="5" fillId="27" borderId="0" xfId="0" applyNumberFormat="1" applyFont="1" applyFill="1" applyAlignment="1">
      <alignment/>
    </xf>
    <xf numFmtId="41" fontId="16" fillId="0" borderId="0" xfId="0" applyNumberFormat="1" applyFont="1" applyFill="1" applyAlignment="1">
      <alignment/>
    </xf>
    <xf numFmtId="3" fontId="4" fillId="20" borderId="0" xfId="0" applyNumberFormat="1" applyFont="1" applyFill="1" applyAlignment="1">
      <alignment/>
    </xf>
    <xf numFmtId="0" fontId="0" fillId="24" borderId="0" xfId="0" applyFont="1" applyFill="1" applyBorder="1" applyAlignment="1">
      <alignment/>
    </xf>
    <xf numFmtId="0" fontId="0" fillId="0" borderId="0" xfId="0" applyFill="1" applyAlignment="1">
      <alignment/>
    </xf>
    <xf numFmtId="0" fontId="3" fillId="0" borderId="0" xfId="0" applyFont="1" applyFill="1" applyAlignment="1">
      <alignment/>
    </xf>
    <xf numFmtId="0" fontId="3" fillId="0" borderId="0" xfId="0" applyFont="1" applyAlignment="1">
      <alignment/>
    </xf>
    <xf numFmtId="0" fontId="3" fillId="0" borderId="10" xfId="0" applyFont="1" applyBorder="1" applyAlignment="1">
      <alignment/>
    </xf>
    <xf numFmtId="0" fontId="3" fillId="0" borderId="12" xfId="0" applyFont="1" applyBorder="1" applyAlignment="1">
      <alignment/>
    </xf>
    <xf numFmtId="0" fontId="0" fillId="0" borderId="0" xfId="0" applyFont="1" applyAlignment="1">
      <alignment/>
    </xf>
    <xf numFmtId="41" fontId="3" fillId="25" borderId="10" xfId="0" applyNumberFormat="1" applyFont="1" applyFill="1" applyBorder="1" applyAlignment="1">
      <alignment/>
    </xf>
    <xf numFmtId="3" fontId="3" fillId="25" borderId="10" xfId="0" applyNumberFormat="1" applyFont="1" applyFill="1" applyBorder="1" applyAlignment="1">
      <alignment/>
    </xf>
    <xf numFmtId="0" fontId="18" fillId="0" borderId="0" xfId="0" applyFont="1" applyAlignment="1">
      <alignment/>
    </xf>
    <xf numFmtId="0" fontId="19" fillId="0" borderId="0" xfId="0" applyFont="1" applyAlignment="1">
      <alignment/>
    </xf>
    <xf numFmtId="0" fontId="3" fillId="0" borderId="10" xfId="0" applyFont="1" applyFill="1" applyBorder="1" applyAlignment="1">
      <alignment/>
    </xf>
    <xf numFmtId="0" fontId="3" fillId="0" borderId="12" xfId="0" applyFont="1" applyFill="1" applyBorder="1" applyAlignment="1">
      <alignment/>
    </xf>
    <xf numFmtId="41" fontId="4" fillId="22" borderId="0" xfId="59" applyNumberFormat="1" applyFont="1" applyFill="1" applyBorder="1" applyAlignment="1" applyProtection="1">
      <alignment horizontal="right"/>
      <protection locked="0"/>
    </xf>
    <xf numFmtId="176" fontId="4" fillId="22" borderId="0" xfId="0" applyNumberFormat="1" applyFont="1" applyFill="1" applyAlignment="1">
      <alignment/>
    </xf>
    <xf numFmtId="0" fontId="11" fillId="0" borderId="0" xfId="0" applyFont="1" applyFill="1" applyAlignment="1">
      <alignment/>
    </xf>
    <xf numFmtId="41" fontId="16" fillId="4" borderId="0" xfId="0" applyNumberFormat="1" applyFont="1" applyFill="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6" xfId="0" applyFont="1" applyFill="1" applyBorder="1" applyAlignment="1">
      <alignment/>
    </xf>
    <xf numFmtId="0" fontId="3" fillId="0" borderId="15" xfId="0" applyFont="1" applyFill="1" applyBorder="1" applyAlignment="1">
      <alignment/>
    </xf>
    <xf numFmtId="0" fontId="3" fillId="0" borderId="17" xfId="0" applyFont="1" applyBorder="1" applyAlignment="1">
      <alignment/>
    </xf>
    <xf numFmtId="41" fontId="4" fillId="22" borderId="0" xfId="0" applyNumberFormat="1" applyFont="1" applyFill="1" applyBorder="1" applyAlignment="1">
      <alignment horizontal="right"/>
    </xf>
    <xf numFmtId="41" fontId="4" fillId="22" borderId="0" xfId="0" applyNumberFormat="1" applyFont="1" applyFill="1" applyBorder="1" applyAlignment="1">
      <alignment/>
    </xf>
    <xf numFmtId="2" fontId="4" fillId="22" borderId="0" xfId="59" applyNumberFormat="1" applyFont="1" applyFill="1" applyBorder="1" applyAlignment="1" applyProtection="1">
      <alignment horizontal="right"/>
      <protection locked="0"/>
    </xf>
    <xf numFmtId="2" fontId="4" fillId="22" borderId="0" xfId="0" applyNumberFormat="1" applyFont="1" applyFill="1" applyBorder="1" applyAlignment="1">
      <alignment horizontal="right"/>
    </xf>
    <xf numFmtId="2" fontId="4" fillId="22" borderId="0" xfId="0" applyNumberFormat="1" applyFont="1" applyFill="1" applyBorder="1" applyAlignment="1">
      <alignment/>
    </xf>
    <xf numFmtId="41" fontId="3" fillId="28" borderId="10" xfId="0" applyNumberFormat="1" applyFont="1" applyFill="1" applyBorder="1" applyAlignment="1">
      <alignment horizontal="center" textRotation="90"/>
    </xf>
    <xf numFmtId="41" fontId="3" fillId="29" borderId="0" xfId="0" applyNumberFormat="1" applyFont="1" applyFill="1" applyBorder="1" applyAlignment="1">
      <alignment horizontal="center" textRotation="90"/>
    </xf>
    <xf numFmtId="41" fontId="0" fillId="30" borderId="10" xfId="0" applyNumberFormat="1" applyFont="1" applyFill="1" applyBorder="1" applyAlignment="1">
      <alignment/>
    </xf>
    <xf numFmtId="2" fontId="4" fillId="29" borderId="0" xfId="0" applyNumberFormat="1" applyFont="1" applyFill="1" applyBorder="1" applyAlignment="1">
      <alignment/>
    </xf>
    <xf numFmtId="41" fontId="4" fillId="29" borderId="0" xfId="0" applyNumberFormat="1" applyFont="1" applyFill="1" applyBorder="1" applyAlignment="1">
      <alignment/>
    </xf>
    <xf numFmtId="41" fontId="4" fillId="31" borderId="0" xfId="0" applyNumberFormat="1" applyFont="1" applyFill="1" applyBorder="1" applyAlignment="1">
      <alignment horizontal="right"/>
    </xf>
    <xf numFmtId="41" fontId="4" fillId="29" borderId="0" xfId="0" applyNumberFormat="1" applyFont="1" applyFill="1" applyBorder="1" applyAlignment="1">
      <alignment horizontal="right"/>
    </xf>
    <xf numFmtId="41" fontId="4" fillId="29" borderId="0" xfId="82" applyNumberFormat="1" applyFont="1" applyFill="1" applyBorder="1" applyAlignment="1" applyProtection="1">
      <alignment horizontal="right"/>
      <protection locked="0"/>
    </xf>
    <xf numFmtId="41" fontId="4" fillId="29" borderId="0" xfId="59" applyNumberFormat="1" applyFont="1" applyFill="1" applyBorder="1" applyAlignment="1" applyProtection="1">
      <alignment horizontal="right"/>
      <protection locked="0"/>
    </xf>
    <xf numFmtId="41" fontId="0" fillId="32" borderId="0" xfId="0" applyNumberFormat="1" applyFont="1" applyFill="1" applyAlignment="1">
      <alignment/>
    </xf>
    <xf numFmtId="41" fontId="4" fillId="22" borderId="0" xfId="82" applyNumberFormat="1" applyFont="1" applyFill="1" applyBorder="1" applyAlignment="1" applyProtection="1">
      <alignment horizontal="right"/>
      <protection locked="0"/>
    </xf>
    <xf numFmtId="41" fontId="4" fillId="7" borderId="0" xfId="59" applyNumberFormat="1" applyFont="1" applyFill="1" applyBorder="1" applyAlignment="1" applyProtection="1">
      <alignment horizontal="right"/>
      <protection locked="0"/>
    </xf>
    <xf numFmtId="41" fontId="4" fillId="31" borderId="0" xfId="61" applyNumberFormat="1" applyFont="1" applyFill="1" applyBorder="1" applyAlignment="1" applyProtection="1">
      <alignment horizontal="right"/>
      <protection locked="0"/>
    </xf>
    <xf numFmtId="41" fontId="4" fillId="29" borderId="0" xfId="82" applyNumberFormat="1" applyFont="1" applyFill="1" applyBorder="1" applyAlignment="1" applyProtection="1">
      <alignment horizontal="right"/>
      <protection/>
    </xf>
    <xf numFmtId="41" fontId="4" fillId="31" borderId="0" xfId="62" applyNumberFormat="1" applyFont="1" applyFill="1" applyBorder="1" applyAlignment="1" applyProtection="1">
      <alignment horizontal="right"/>
      <protection locked="0"/>
    </xf>
    <xf numFmtId="41" fontId="7" fillId="29" borderId="0" xfId="82" applyNumberFormat="1" applyFont="1" applyFill="1" applyBorder="1" applyAlignment="1" applyProtection="1">
      <alignment horizontal="right"/>
      <protection/>
    </xf>
    <xf numFmtId="41" fontId="4" fillId="31" borderId="0" xfId="82" applyNumberFormat="1" applyFont="1" applyFill="1" applyBorder="1" applyAlignment="1" applyProtection="1">
      <alignment horizontal="right"/>
      <protection locked="0"/>
    </xf>
    <xf numFmtId="41" fontId="4" fillId="29" borderId="0" xfId="61" applyNumberFormat="1" applyFont="1" applyFill="1" applyBorder="1" applyAlignment="1" applyProtection="1">
      <alignment horizontal="right"/>
      <protection locked="0"/>
    </xf>
    <xf numFmtId="41" fontId="4" fillId="29" borderId="0" xfId="62" applyNumberFormat="1" applyFont="1" applyFill="1" applyBorder="1" applyAlignment="1" applyProtection="1">
      <alignment horizontal="right"/>
      <protection locked="0"/>
    </xf>
    <xf numFmtId="41" fontId="4" fillId="33" borderId="0" xfId="59" applyNumberFormat="1" applyFont="1" applyFill="1" applyBorder="1" applyAlignment="1" applyProtection="1">
      <alignment horizontal="right"/>
      <protection locked="0"/>
    </xf>
    <xf numFmtId="41" fontId="4" fillId="33" borderId="0" xfId="82" applyNumberFormat="1" applyFont="1" applyFill="1" applyBorder="1" applyAlignment="1" applyProtection="1">
      <alignment horizontal="right"/>
      <protection locked="0"/>
    </xf>
    <xf numFmtId="41" fontId="4" fillId="33" borderId="0" xfId="0" applyNumberFormat="1" applyFont="1" applyFill="1" applyBorder="1" applyAlignment="1">
      <alignment/>
    </xf>
    <xf numFmtId="41" fontId="4" fillId="22" borderId="0" xfId="61" applyNumberFormat="1" applyFont="1" applyFill="1" applyBorder="1" applyAlignment="1" applyProtection="1">
      <alignment horizontal="right"/>
      <protection locked="0"/>
    </xf>
    <xf numFmtId="0" fontId="1" fillId="0" borderId="10" xfId="0" applyFont="1" applyFill="1" applyBorder="1" applyAlignment="1">
      <alignment/>
    </xf>
    <xf numFmtId="3" fontId="4" fillId="27" borderId="0" xfId="0" applyNumberFormat="1" applyFont="1" applyFill="1" applyAlignment="1">
      <alignment/>
    </xf>
    <xf numFmtId="0" fontId="0" fillId="24" borderId="0" xfId="0" applyFont="1" applyFill="1" applyAlignment="1">
      <alignment/>
    </xf>
    <xf numFmtId="185" fontId="11" fillId="24" borderId="0" xfId="75" applyNumberFormat="1" applyFill="1" applyAlignment="1">
      <alignment/>
    </xf>
    <xf numFmtId="185" fontId="11" fillId="24" borderId="0" xfId="0" applyNumberFormat="1" applyFill="1" applyAlignment="1">
      <alignment/>
    </xf>
    <xf numFmtId="41" fontId="4" fillId="31" borderId="0" xfId="0" applyNumberFormat="1" applyFont="1" applyFill="1" applyBorder="1" applyAlignment="1">
      <alignment/>
    </xf>
    <xf numFmtId="187" fontId="4" fillId="24" borderId="0" xfId="0" applyNumberFormat="1" applyFont="1" applyFill="1" applyBorder="1" applyAlignment="1">
      <alignment/>
    </xf>
    <xf numFmtId="186" fontId="4" fillId="22" borderId="0" xfId="59" applyNumberFormat="1" applyFont="1" applyFill="1" applyAlignment="1">
      <alignment/>
    </xf>
    <xf numFmtId="186" fontId="4" fillId="27" borderId="0" xfId="59" applyNumberFormat="1" applyFont="1" applyFill="1" applyAlignment="1">
      <alignment/>
    </xf>
    <xf numFmtId="41" fontId="4" fillId="24" borderId="0" xfId="0" applyNumberFormat="1" applyFont="1" applyFill="1" applyAlignment="1">
      <alignment/>
    </xf>
    <xf numFmtId="41" fontId="4" fillId="25" borderId="10" xfId="0" applyNumberFormat="1" applyFont="1" applyFill="1" applyBorder="1" applyAlignment="1">
      <alignment/>
    </xf>
    <xf numFmtId="43" fontId="16" fillId="4" borderId="0" xfId="0" applyNumberFormat="1" applyFont="1" applyFill="1" applyAlignment="1">
      <alignment/>
    </xf>
    <xf numFmtId="43" fontId="16" fillId="0" borderId="0" xfId="0" applyNumberFormat="1" applyFont="1" applyFill="1" applyAlignment="1">
      <alignment/>
    </xf>
    <xf numFmtId="43" fontId="16" fillId="24" borderId="0" xfId="0" applyNumberFormat="1" applyFont="1" applyFill="1" applyAlignment="1">
      <alignment/>
    </xf>
    <xf numFmtId="43" fontId="16" fillId="22" borderId="0" xfId="0" applyNumberFormat="1" applyFont="1" applyFill="1" applyAlignment="1">
      <alignment/>
    </xf>
    <xf numFmtId="43" fontId="0" fillId="0" borderId="0" xfId="81" applyNumberFormat="1" applyFont="1" applyFill="1" applyBorder="1" applyAlignment="1" applyProtection="1">
      <alignment/>
      <protection/>
    </xf>
    <xf numFmtId="43" fontId="3" fillId="0" borderId="0" xfId="81" applyNumberFormat="1" applyFont="1" applyFill="1" applyBorder="1" applyAlignment="1" applyProtection="1">
      <alignment/>
      <protection/>
    </xf>
    <xf numFmtId="0" fontId="39" fillId="0" borderId="0" xfId="0" applyFont="1" applyBorder="1" applyAlignment="1">
      <alignment/>
    </xf>
    <xf numFmtId="41" fontId="0" fillId="0" borderId="0" xfId="81" applyNumberFormat="1" applyFont="1" applyFill="1" applyBorder="1" applyAlignment="1" applyProtection="1">
      <alignment/>
      <protection/>
    </xf>
    <xf numFmtId="41" fontId="3" fillId="0" borderId="0" xfId="81" applyNumberFormat="1" applyFont="1" applyFill="1" applyBorder="1" applyAlignment="1" applyProtection="1">
      <alignment/>
      <protection/>
    </xf>
    <xf numFmtId="41" fontId="18" fillId="0" borderId="0" xfId="81" applyNumberFormat="1" applyFont="1" applyFill="1" applyBorder="1" applyAlignment="1" applyProtection="1">
      <alignment/>
      <protection/>
    </xf>
    <xf numFmtId="43" fontId="39" fillId="24" borderId="0" xfId="0" applyNumberFormat="1" applyFont="1" applyFill="1" applyAlignment="1">
      <alignment/>
    </xf>
    <xf numFmtId="43" fontId="39" fillId="0" borderId="0" xfId="0" applyNumberFormat="1" applyFont="1" applyFill="1" applyAlignment="1">
      <alignment/>
    </xf>
    <xf numFmtId="41" fontId="40" fillId="0" borderId="0" xfId="81" applyNumberFormat="1" applyFont="1" applyFill="1" applyBorder="1" applyAlignment="1" applyProtection="1">
      <alignment/>
      <protection/>
    </xf>
    <xf numFmtId="41" fontId="41" fillId="0" borderId="0" xfId="81" applyNumberFormat="1" applyFont="1" applyFill="1" applyBorder="1" applyAlignment="1" applyProtection="1">
      <alignment/>
      <protection/>
    </xf>
    <xf numFmtId="43" fontId="18" fillId="0" borderId="0" xfId="81" applyNumberFormat="1" applyFont="1" applyFill="1" applyBorder="1" applyAlignment="1" applyProtection="1">
      <alignment/>
      <protection/>
    </xf>
    <xf numFmtId="0" fontId="7" fillId="0" borderId="0" xfId="0" applyFont="1" applyFill="1" applyAlignment="1">
      <alignment/>
    </xf>
    <xf numFmtId="3" fontId="4" fillId="4" borderId="0" xfId="0" applyNumberFormat="1" applyFont="1" applyFill="1" applyBorder="1" applyAlignment="1">
      <alignment/>
    </xf>
    <xf numFmtId="3" fontId="4" fillId="22" borderId="0" xfId="0" applyNumberFormat="1" applyFont="1" applyFill="1" applyBorder="1" applyAlignment="1">
      <alignment/>
    </xf>
    <xf numFmtId="2" fontId="16" fillId="0" borderId="0" xfId="0" applyNumberFormat="1" applyFont="1" applyFill="1" applyAlignment="1">
      <alignment/>
    </xf>
    <xf numFmtId="43" fontId="4" fillId="25" borderId="10" xfId="0" applyNumberFormat="1" applyFont="1" applyFill="1" applyBorder="1" applyAlignment="1">
      <alignment/>
    </xf>
    <xf numFmtId="9" fontId="16" fillId="0" borderId="0" xfId="75" applyFont="1" applyFill="1" applyAlignment="1">
      <alignment/>
    </xf>
    <xf numFmtId="9" fontId="16" fillId="0" borderId="0" xfId="0" applyNumberFormat="1" applyFont="1" applyFill="1" applyAlignment="1">
      <alignment/>
    </xf>
    <xf numFmtId="186" fontId="16" fillId="24" borderId="0" xfId="0" applyNumberFormat="1" applyFont="1" applyFill="1" applyAlignment="1">
      <alignment/>
    </xf>
    <xf numFmtId="0" fontId="7" fillId="0" borderId="0" xfId="0" applyFont="1" applyAlignment="1">
      <alignment/>
    </xf>
    <xf numFmtId="43" fontId="16" fillId="27" borderId="0" xfId="0" applyNumberFormat="1" applyFont="1" applyFill="1" applyAlignment="1">
      <alignment/>
    </xf>
    <xf numFmtId="0" fontId="43" fillId="24" borderId="0" xfId="0" applyFont="1" applyFill="1" applyAlignment="1">
      <alignment/>
    </xf>
    <xf numFmtId="0" fontId="39" fillId="24" borderId="0" xfId="0" applyFont="1" applyFill="1" applyAlignment="1">
      <alignment/>
    </xf>
    <xf numFmtId="41" fontId="44" fillId="0" borderId="0" xfId="81" applyNumberFormat="1" applyFont="1" applyFill="1" applyBorder="1" applyAlignment="1" applyProtection="1">
      <alignment/>
      <protection/>
    </xf>
    <xf numFmtId="41" fontId="9" fillId="0" borderId="0" xfId="81" applyNumberFormat="1" applyFont="1" applyFill="1" applyBorder="1" applyAlignment="1" applyProtection="1">
      <alignment/>
      <protection/>
    </xf>
    <xf numFmtId="0" fontId="0" fillId="0" borderId="0" xfId="81" applyNumberFormat="1" applyFont="1" applyFill="1" applyBorder="1" applyAlignment="1" applyProtection="1">
      <alignment/>
      <protection/>
    </xf>
    <xf numFmtId="0" fontId="39" fillId="0" borderId="0" xfId="0" applyFont="1" applyFill="1" applyBorder="1" applyAlignment="1">
      <alignment/>
    </xf>
    <xf numFmtId="0" fontId="16" fillId="24" borderId="0" xfId="0" applyFont="1" applyFill="1" applyAlignment="1">
      <alignment/>
    </xf>
    <xf numFmtId="0" fontId="16" fillId="0" borderId="0" xfId="0" applyFont="1" applyFill="1" applyAlignment="1">
      <alignment/>
    </xf>
    <xf numFmtId="0" fontId="16" fillId="4" borderId="0" xfId="0" applyFont="1" applyFill="1" applyAlignment="1">
      <alignment/>
    </xf>
    <xf numFmtId="0" fontId="4" fillId="25" borderId="10" xfId="0" applyFont="1" applyFill="1" applyBorder="1" applyAlignment="1">
      <alignment/>
    </xf>
    <xf numFmtId="39" fontId="0" fillId="0" borderId="0" xfId="0" applyNumberFormat="1" applyFont="1" applyFill="1" applyBorder="1" applyAlignment="1">
      <alignment/>
    </xf>
    <xf numFmtId="41" fontId="4" fillId="31" borderId="0" xfId="0" applyNumberFormat="1" applyFont="1" applyFill="1" applyBorder="1" applyAlignment="1" applyProtection="1">
      <alignment horizontal="right"/>
      <protection locked="0"/>
    </xf>
    <xf numFmtId="0" fontId="16" fillId="0" borderId="0" xfId="0" applyFont="1" applyAlignment="1">
      <alignment/>
    </xf>
    <xf numFmtId="2" fontId="4" fillId="7" borderId="0" xfId="0" applyNumberFormat="1" applyFont="1" applyFill="1" applyAlignment="1">
      <alignment/>
    </xf>
    <xf numFmtId="2" fontId="4" fillId="0" borderId="0" xfId="0" applyNumberFormat="1" applyFont="1" applyFill="1" applyAlignment="1">
      <alignment/>
    </xf>
    <xf numFmtId="2" fontId="4" fillId="29" borderId="0" xfId="0" applyNumberFormat="1" applyFont="1" applyFill="1" applyAlignment="1">
      <alignment/>
    </xf>
    <xf numFmtId="41" fontId="4" fillId="25" borderId="10" xfId="0" applyNumberFormat="1" applyFont="1" applyFill="1" applyBorder="1" applyAlignment="1">
      <alignment/>
    </xf>
    <xf numFmtId="41" fontId="4" fillId="30" borderId="10" xfId="0" applyNumberFormat="1" applyFont="1" applyFill="1" applyBorder="1" applyAlignment="1">
      <alignment/>
    </xf>
    <xf numFmtId="41" fontId="4" fillId="29" borderId="0" xfId="0" applyNumberFormat="1" applyFont="1" applyFill="1" applyAlignment="1">
      <alignment/>
    </xf>
    <xf numFmtId="41" fontId="16" fillId="0" borderId="0" xfId="0" applyNumberFormat="1" applyFont="1" applyFill="1" applyBorder="1" applyAlignment="1">
      <alignment horizontal="right"/>
    </xf>
    <xf numFmtId="41" fontId="4" fillId="32" borderId="0" xfId="0" applyNumberFormat="1" applyFont="1" applyFill="1" applyAlignment="1">
      <alignment/>
    </xf>
    <xf numFmtId="10" fontId="4" fillId="22" borderId="0" xfId="75" applyNumberFormat="1" applyFont="1" applyFill="1" applyAlignment="1">
      <alignment/>
    </xf>
    <xf numFmtId="3" fontId="16" fillId="4" borderId="0" xfId="0" applyNumberFormat="1" applyFont="1" applyFill="1" applyAlignment="1">
      <alignment/>
    </xf>
    <xf numFmtId="181" fontId="4" fillId="0" borderId="0" xfId="0" applyNumberFormat="1" applyFont="1" applyFill="1" applyBorder="1" applyAlignment="1">
      <alignment/>
    </xf>
    <xf numFmtId="0" fontId="39" fillId="24" borderId="0" xfId="0" applyFont="1" applyFill="1" applyAlignment="1">
      <alignment horizontal="center"/>
    </xf>
    <xf numFmtId="181" fontId="4" fillId="4" borderId="0" xfId="0" applyNumberFormat="1" applyFont="1" applyFill="1" applyBorder="1" applyAlignment="1">
      <alignment/>
    </xf>
    <xf numFmtId="0" fontId="39" fillId="24" borderId="0" xfId="0" applyFont="1" applyFill="1" applyAlignment="1">
      <alignment horizontal="right"/>
    </xf>
    <xf numFmtId="0" fontId="39" fillId="24" borderId="0" xfId="0" applyFont="1" applyFill="1" applyBorder="1" applyAlignment="1">
      <alignment/>
    </xf>
    <xf numFmtId="182" fontId="39" fillId="24" borderId="0" xfId="0" applyNumberFormat="1" applyFont="1" applyFill="1" applyAlignment="1">
      <alignment/>
    </xf>
    <xf numFmtId="182" fontId="16" fillId="22" borderId="0" xfId="0" applyNumberFormat="1" applyFont="1" applyFill="1" applyAlignment="1">
      <alignment/>
    </xf>
    <xf numFmtId="0" fontId="16" fillId="21" borderId="0" xfId="0" applyFont="1" applyFill="1" applyAlignment="1">
      <alignment/>
    </xf>
    <xf numFmtId="181" fontId="16" fillId="22" borderId="0" xfId="0" applyNumberFormat="1" applyFont="1" applyFill="1" applyAlignment="1">
      <alignment/>
    </xf>
    <xf numFmtId="186" fontId="4" fillId="24" borderId="0" xfId="59" applyNumberFormat="1" applyFont="1" applyFill="1" applyAlignment="1">
      <alignment/>
    </xf>
    <xf numFmtId="186" fontId="4" fillId="22" borderId="0" xfId="0" applyNumberFormat="1" applyFont="1" applyFill="1" applyAlignment="1">
      <alignment/>
    </xf>
    <xf numFmtId="186" fontId="45" fillId="0" borderId="0" xfId="59" applyNumberFormat="1" applyFont="1" applyFill="1" applyAlignment="1">
      <alignment/>
    </xf>
    <xf numFmtId="9" fontId="16" fillId="0" borderId="0" xfId="75" applyNumberFormat="1" applyFont="1" applyFill="1" applyAlignment="1">
      <alignment/>
    </xf>
    <xf numFmtId="10" fontId="0" fillId="0" borderId="0" xfId="75" applyNumberFormat="1" applyAlignment="1">
      <alignment/>
    </xf>
    <xf numFmtId="43" fontId="42" fillId="24" borderId="0" xfId="0" applyNumberFormat="1" applyFont="1" applyFill="1" applyAlignment="1">
      <alignment/>
    </xf>
    <xf numFmtId="186" fontId="16" fillId="22" borderId="0" xfId="0" applyNumberFormat="1" applyFont="1" applyFill="1" applyAlignment="1">
      <alignment/>
    </xf>
    <xf numFmtId="43" fontId="39" fillId="24" borderId="0" xfId="0" applyNumberFormat="1" applyFont="1" applyFill="1" applyAlignment="1">
      <alignment horizontal="left"/>
    </xf>
    <xf numFmtId="43" fontId="9" fillId="24" borderId="0" xfId="0" applyNumberFormat="1" applyFont="1" applyFill="1" applyAlignment="1">
      <alignment horizontal="left"/>
    </xf>
    <xf numFmtId="41" fontId="19" fillId="24" borderId="0" xfId="0" applyNumberFormat="1" applyFont="1" applyFill="1" applyBorder="1" applyAlignment="1">
      <alignment/>
    </xf>
    <xf numFmtId="9" fontId="0" fillId="24" borderId="0" xfId="75" applyFont="1" applyFill="1" applyAlignment="1">
      <alignment/>
    </xf>
    <xf numFmtId="3" fontId="46" fillId="4" borderId="0" xfId="0" applyNumberFormat="1" applyFont="1" applyFill="1" applyAlignment="1">
      <alignment/>
    </xf>
    <xf numFmtId="0" fontId="9" fillId="0" borderId="0" xfId="0" applyFont="1" applyAlignment="1">
      <alignment/>
    </xf>
    <xf numFmtId="0" fontId="0" fillId="0" borderId="18" xfId="77" applyFont="1" applyFill="1" applyBorder="1" applyAlignment="1" applyProtection="1">
      <alignment/>
      <protection locked="0"/>
    </xf>
    <xf numFmtId="39" fontId="0" fillId="0" borderId="18" xfId="82" applyNumberFormat="1" applyFont="1" applyBorder="1" applyAlignment="1" applyProtection="1">
      <alignment horizontal="left"/>
      <protection locked="0"/>
    </xf>
    <xf numFmtId="0" fontId="0" fillId="0" borderId="18" xfId="0" applyFont="1" applyFill="1" applyBorder="1" applyAlignment="1" applyProtection="1">
      <alignment/>
      <protection locked="0"/>
    </xf>
    <xf numFmtId="41" fontId="10" fillId="0" borderId="0" xfId="82" applyNumberFormat="1" applyFont="1" applyFill="1" applyBorder="1" applyAlignment="1" applyProtection="1">
      <alignment horizontal="left"/>
      <protection/>
    </xf>
    <xf numFmtId="0" fontId="9" fillId="24" borderId="0" xfId="0" applyFont="1" applyFill="1" applyAlignment="1">
      <alignment/>
    </xf>
    <xf numFmtId="0" fontId="2" fillId="20" borderId="10" xfId="15" applyFont="1" applyFill="1" applyBorder="1">
      <alignment/>
      <protection/>
    </xf>
    <xf numFmtId="0" fontId="1" fillId="20" borderId="10" xfId="15" applyFont="1" applyFill="1" applyBorder="1">
      <alignment/>
      <protection/>
    </xf>
    <xf numFmtId="0" fontId="0" fillId="24" borderId="0" xfId="15" applyFont="1" applyFill="1">
      <alignment/>
      <protection/>
    </xf>
    <xf numFmtId="199" fontId="0" fillId="24" borderId="0" xfId="15" applyNumberFormat="1" applyFont="1" applyFill="1">
      <alignment/>
      <protection/>
    </xf>
    <xf numFmtId="0" fontId="3" fillId="25" borderId="10" xfId="15" applyFont="1" applyFill="1" applyBorder="1" applyAlignment="1">
      <alignment horizontal="left"/>
      <protection/>
    </xf>
    <xf numFmtId="199" fontId="0" fillId="25" borderId="10" xfId="15" applyNumberFormat="1" applyFont="1" applyFill="1" applyBorder="1">
      <alignment/>
      <protection/>
    </xf>
    <xf numFmtId="0" fontId="0" fillId="25" borderId="10" xfId="15" applyFont="1" applyFill="1" applyBorder="1">
      <alignment/>
      <protection/>
    </xf>
    <xf numFmtId="0" fontId="3" fillId="24" borderId="0" xfId="15" applyFont="1" applyFill="1">
      <alignment/>
      <protection/>
    </xf>
    <xf numFmtId="0" fontId="0" fillId="24" borderId="0" xfId="76" applyFont="1" applyFill="1" applyBorder="1">
      <alignment/>
      <protection/>
    </xf>
    <xf numFmtId="186" fontId="4" fillId="22" borderId="0" xfId="59" applyNumberFormat="1" applyFont="1" applyFill="1" applyAlignment="1">
      <alignment horizontal="right"/>
    </xf>
    <xf numFmtId="186" fontId="4" fillId="4" borderId="0" xfId="59" applyNumberFormat="1" applyFont="1" applyFill="1" applyAlignment="1">
      <alignment/>
    </xf>
    <xf numFmtId="0" fontId="3" fillId="24" borderId="0" xfId="76" applyFont="1" applyFill="1" applyBorder="1">
      <alignment/>
      <protection/>
    </xf>
    <xf numFmtId="186" fontId="4" fillId="0" borderId="0" xfId="59" applyNumberFormat="1" applyFont="1" applyFill="1" applyAlignment="1">
      <alignment/>
    </xf>
    <xf numFmtId="0" fontId="0" fillId="27" borderId="0" xfId="15" applyFill="1" applyAlignment="1">
      <alignment horizontal="right"/>
      <protection/>
    </xf>
    <xf numFmtId="0" fontId="8" fillId="24" borderId="0" xfId="0" applyFont="1" applyFill="1" applyBorder="1" applyAlignment="1">
      <alignment/>
    </xf>
    <xf numFmtId="0" fontId="3" fillId="25" borderId="10" xfId="0" applyFont="1" applyFill="1" applyBorder="1" applyAlignment="1">
      <alignment horizontal="left"/>
    </xf>
    <xf numFmtId="199" fontId="0" fillId="25" borderId="10" xfId="0" applyNumberFormat="1" applyFont="1" applyFill="1" applyBorder="1" applyAlignment="1">
      <alignment/>
    </xf>
    <xf numFmtId="6" fontId="0" fillId="24" borderId="0" xfId="0" applyNumberFormat="1" applyFont="1" applyFill="1" applyBorder="1" applyAlignment="1" quotePrefix="1">
      <alignment/>
    </xf>
    <xf numFmtId="0" fontId="0" fillId="24" borderId="0" xfId="15" applyFont="1" applyFill="1">
      <alignment/>
      <protection/>
    </xf>
    <xf numFmtId="174" fontId="39" fillId="24" borderId="0" xfId="0" applyNumberFormat="1" applyFont="1" applyFill="1" applyAlignment="1">
      <alignment/>
    </xf>
    <xf numFmtId="198" fontId="4" fillId="24" borderId="0" xfId="59" applyNumberFormat="1" applyFont="1" applyFill="1" applyAlignment="1">
      <alignment/>
    </xf>
    <xf numFmtId="199" fontId="4" fillId="4" borderId="0" xfId="15" applyNumberFormat="1" applyFont="1" applyFill="1">
      <alignment/>
      <protection/>
    </xf>
    <xf numFmtId="186" fontId="0" fillId="24" borderId="0" xfId="59" applyNumberFormat="1" applyFont="1" applyFill="1" applyAlignment="1">
      <alignment/>
    </xf>
    <xf numFmtId="186" fontId="0" fillId="25" borderId="10" xfId="59" applyNumberFormat="1" applyFont="1" applyFill="1" applyBorder="1" applyAlignment="1">
      <alignment/>
    </xf>
    <xf numFmtId="186" fontId="16" fillId="4" borderId="0" xfId="59" applyNumberFormat="1" applyFont="1" applyFill="1" applyAlignment="1">
      <alignment/>
    </xf>
    <xf numFmtId="10" fontId="0" fillId="24" borderId="0" xfId="75" applyNumberFormat="1" applyFont="1" applyFill="1" applyAlignment="1">
      <alignment/>
    </xf>
    <xf numFmtId="178" fontId="4" fillId="22" borderId="0" xfId="75" applyNumberFormat="1" applyFont="1" applyFill="1" applyAlignment="1">
      <alignment/>
    </xf>
    <xf numFmtId="190" fontId="11" fillId="22" borderId="0" xfId="0" applyNumberFormat="1" applyFill="1" applyAlignment="1">
      <alignment/>
    </xf>
    <xf numFmtId="43" fontId="4" fillId="24" borderId="0" xfId="0" applyNumberFormat="1" applyFont="1" applyFill="1" applyAlignment="1">
      <alignment/>
    </xf>
    <xf numFmtId="43" fontId="4" fillId="0" borderId="0" xfId="0" applyNumberFormat="1" applyFont="1" applyFill="1" applyAlignment="1">
      <alignment/>
    </xf>
    <xf numFmtId="43" fontId="4" fillId="0" borderId="0" xfId="0" applyNumberFormat="1" applyFont="1" applyFill="1" applyBorder="1" applyAlignment="1">
      <alignment/>
    </xf>
    <xf numFmtId="43" fontId="4" fillId="27" borderId="0" xfId="0" applyNumberFormat="1" applyFont="1" applyFill="1" applyAlignment="1">
      <alignment/>
    </xf>
    <xf numFmtId="1" fontId="39" fillId="24" borderId="0" xfId="0" applyNumberFormat="1" applyFont="1" applyFill="1" applyAlignment="1">
      <alignment/>
    </xf>
    <xf numFmtId="1" fontId="0" fillId="25" borderId="10" xfId="0" applyNumberFormat="1" applyFont="1" applyFill="1" applyBorder="1" applyAlignment="1">
      <alignment/>
    </xf>
    <xf numFmtId="1" fontId="16" fillId="21" borderId="0" xfId="0" applyNumberFormat="1" applyFont="1" applyFill="1" applyAlignment="1">
      <alignment/>
    </xf>
    <xf numFmtId="0" fontId="3" fillId="24" borderId="12" xfId="0" applyFont="1" applyFill="1" applyBorder="1" applyAlignment="1">
      <alignment/>
    </xf>
    <xf numFmtId="186" fontId="4" fillId="4" borderId="0" xfId="59" applyNumberFormat="1" applyFont="1" applyFill="1" applyAlignment="1">
      <alignment/>
    </xf>
    <xf numFmtId="0" fontId="0" fillId="25" borderId="19" xfId="0" applyFont="1" applyFill="1" applyBorder="1" applyAlignment="1">
      <alignment/>
    </xf>
    <xf numFmtId="0" fontId="39" fillId="24" borderId="19" xfId="0" applyFont="1" applyFill="1" applyBorder="1" applyAlignment="1">
      <alignment/>
    </xf>
    <xf numFmtId="0" fontId="0" fillId="24" borderId="0" xfId="0" applyFont="1" applyFill="1" applyAlignment="1">
      <alignment horizontal="right"/>
    </xf>
    <xf numFmtId="9" fontId="0" fillId="4" borderId="0" xfId="75" applyFont="1" applyFill="1" applyAlignment="1">
      <alignment/>
    </xf>
    <xf numFmtId="41" fontId="3" fillId="24" borderId="0" xfId="0" applyNumberFormat="1" applyFont="1" applyFill="1" applyAlignment="1">
      <alignment/>
    </xf>
    <xf numFmtId="41" fontId="4" fillId="0" borderId="0" xfId="0" applyNumberFormat="1" applyFont="1" applyFill="1" applyBorder="1" applyAlignment="1" applyProtection="1">
      <alignment horizontal="right"/>
      <protection locked="0"/>
    </xf>
    <xf numFmtId="41" fontId="4" fillId="34" borderId="0" xfId="0" applyNumberFormat="1" applyFont="1" applyFill="1" applyBorder="1" applyAlignment="1">
      <alignment/>
    </xf>
    <xf numFmtId="41" fontId="4" fillId="34" borderId="0" xfId="0" applyNumberFormat="1" applyFont="1" applyFill="1" applyAlignment="1">
      <alignment/>
    </xf>
    <xf numFmtId="41" fontId="4" fillId="34" borderId="0" xfId="82" applyNumberFormat="1" applyFont="1" applyFill="1" applyBorder="1" applyAlignment="1" applyProtection="1">
      <alignment horizontal="right"/>
      <protection locked="0"/>
    </xf>
    <xf numFmtId="41" fontId="4" fillId="34" borderId="0" xfId="59" applyNumberFormat="1" applyFont="1" applyFill="1" applyBorder="1" applyAlignment="1" applyProtection="1">
      <alignment horizontal="right"/>
      <protection locked="0"/>
    </xf>
    <xf numFmtId="41" fontId="0" fillId="34" borderId="0" xfId="0" applyNumberFormat="1" applyFont="1" applyFill="1" applyBorder="1" applyAlignment="1">
      <alignment/>
    </xf>
    <xf numFmtId="41" fontId="0" fillId="34" borderId="0" xfId="59" applyNumberFormat="1" applyFont="1" applyFill="1" applyBorder="1" applyAlignment="1" applyProtection="1">
      <alignment horizontal="right"/>
      <protection locked="0"/>
    </xf>
    <xf numFmtId="41" fontId="48" fillId="0" borderId="0" xfId="81" applyNumberFormat="1" applyFont="1" applyFill="1" applyBorder="1" applyAlignment="1" applyProtection="1">
      <alignment/>
      <protection/>
    </xf>
    <xf numFmtId="41" fontId="49" fillId="0" borderId="0" xfId="81" applyNumberFormat="1" applyFont="1" applyFill="1" applyBorder="1" applyAlignment="1" applyProtection="1">
      <alignment/>
      <protection/>
    </xf>
    <xf numFmtId="41" fontId="50" fillId="0" borderId="0" xfId="81" applyNumberFormat="1" applyFont="1" applyFill="1" applyBorder="1" applyAlignment="1" applyProtection="1">
      <alignment/>
      <protection/>
    </xf>
    <xf numFmtId="0" fontId="51" fillId="24" borderId="0" xfId="0" applyFont="1" applyFill="1" applyAlignment="1">
      <alignment/>
    </xf>
    <xf numFmtId="186" fontId="4" fillId="22" borderId="0" xfId="0" applyNumberFormat="1" applyFont="1" applyFill="1" applyBorder="1" applyAlignment="1">
      <alignment/>
    </xf>
    <xf numFmtId="0" fontId="15" fillId="25" borderId="10" xfId="0" applyFont="1" applyFill="1" applyBorder="1" applyAlignment="1">
      <alignment/>
    </xf>
    <xf numFmtId="0" fontId="51" fillId="0" borderId="0" xfId="0" applyFont="1" applyFill="1" applyBorder="1" applyAlignment="1">
      <alignment/>
    </xf>
    <xf numFmtId="0" fontId="44" fillId="0" borderId="0" xfId="0" applyFont="1" applyFill="1" applyBorder="1" applyAlignment="1">
      <alignment/>
    </xf>
    <xf numFmtId="0" fontId="42" fillId="0" borderId="0" xfId="0" applyFont="1" applyFill="1" applyBorder="1" applyAlignment="1">
      <alignment/>
    </xf>
    <xf numFmtId="0" fontId="42" fillId="0" borderId="0" xfId="0" applyFont="1" applyAlignment="1">
      <alignment horizontal="right"/>
    </xf>
    <xf numFmtId="190" fontId="39" fillId="4" borderId="0" xfId="0" applyNumberFormat="1" applyFont="1" applyFill="1" applyBorder="1" applyAlignment="1">
      <alignment/>
    </xf>
    <xf numFmtId="190" fontId="39" fillId="22" borderId="0" xfId="0" applyNumberFormat="1" applyFont="1" applyFill="1" applyBorder="1" applyAlignment="1">
      <alignment/>
    </xf>
    <xf numFmtId="0" fontId="5" fillId="20" borderId="10" xfId="0" applyFont="1" applyFill="1" applyBorder="1" applyAlignment="1">
      <alignment/>
    </xf>
    <xf numFmtId="0" fontId="38" fillId="20" borderId="10" xfId="0" applyFont="1" applyFill="1" applyBorder="1" applyAlignment="1">
      <alignment/>
    </xf>
    <xf numFmtId="0" fontId="39" fillId="0" borderId="0" xfId="0" applyFont="1" applyAlignment="1">
      <alignment/>
    </xf>
    <xf numFmtId="0" fontId="39" fillId="22" borderId="17" xfId="0" applyFont="1" applyFill="1" applyBorder="1" applyAlignment="1">
      <alignment/>
    </xf>
    <xf numFmtId="0" fontId="39" fillId="22" borderId="14" xfId="0" applyFont="1" applyFill="1" applyBorder="1" applyAlignment="1">
      <alignment/>
    </xf>
    <xf numFmtId="0" fontId="39" fillId="22" borderId="13" xfId="0" applyFont="1" applyFill="1" applyBorder="1" applyAlignment="1">
      <alignment/>
    </xf>
    <xf numFmtId="0" fontId="39" fillId="4" borderId="18" xfId="0" applyFont="1" applyFill="1" applyBorder="1" applyAlignment="1">
      <alignment/>
    </xf>
    <xf numFmtId="0" fontId="39" fillId="4" borderId="0" xfId="0" applyFont="1" applyFill="1" applyBorder="1" applyAlignment="1">
      <alignment/>
    </xf>
    <xf numFmtId="0" fontId="39" fillId="4" borderId="20" xfId="0" applyFont="1" applyFill="1" applyBorder="1" applyAlignment="1">
      <alignment/>
    </xf>
    <xf numFmtId="0" fontId="39" fillId="27" borderId="18" xfId="0" applyFont="1" applyFill="1" applyBorder="1" applyAlignment="1">
      <alignment/>
    </xf>
    <xf numFmtId="0" fontId="39" fillId="27" borderId="0" xfId="0" applyFont="1" applyFill="1" applyBorder="1" applyAlignment="1">
      <alignment/>
    </xf>
    <xf numFmtId="0" fontId="39" fillId="27" borderId="20" xfId="0" applyFont="1" applyFill="1" applyBorder="1" applyAlignment="1">
      <alignment/>
    </xf>
    <xf numFmtId="0" fontId="39" fillId="8" borderId="18" xfId="0" applyFont="1" applyFill="1" applyBorder="1" applyAlignment="1">
      <alignment/>
    </xf>
    <xf numFmtId="2" fontId="39" fillId="8" borderId="0" xfId="0" applyNumberFormat="1" applyFont="1" applyFill="1" applyBorder="1" applyAlignment="1">
      <alignment/>
    </xf>
    <xf numFmtId="2" fontId="39" fillId="8" borderId="20" xfId="0" applyNumberFormat="1" applyFont="1" applyFill="1" applyBorder="1" applyAlignment="1">
      <alignment/>
    </xf>
    <xf numFmtId="0" fontId="39" fillId="11" borderId="21" xfId="0" applyFont="1" applyFill="1" applyBorder="1" applyAlignment="1">
      <alignment/>
    </xf>
    <xf numFmtId="2" fontId="39" fillId="11" borderId="19" xfId="0" applyNumberFormat="1" applyFont="1" applyFill="1" applyBorder="1" applyAlignment="1">
      <alignment/>
    </xf>
    <xf numFmtId="2" fontId="39" fillId="11" borderId="22" xfId="0" applyNumberFormat="1" applyFont="1" applyFill="1" applyBorder="1" applyAlignment="1">
      <alignment/>
    </xf>
    <xf numFmtId="0" fontId="3" fillId="0" borderId="0" xfId="0" applyFont="1" applyFill="1" applyBorder="1" applyAlignment="1">
      <alignment/>
    </xf>
    <xf numFmtId="0" fontId="39" fillId="0" borderId="0" xfId="0" applyFont="1" applyFill="1" applyAlignment="1">
      <alignment/>
    </xf>
    <xf numFmtId="0" fontId="3" fillId="24" borderId="0" xfId="0" applyFont="1" applyFill="1" applyBorder="1" applyAlignment="1">
      <alignment/>
    </xf>
    <xf numFmtId="39" fontId="7" fillId="0" borderId="11" xfId="81" applyNumberFormat="1" applyFont="1" applyFill="1" applyBorder="1" applyAlignment="1">
      <alignment horizontal="left"/>
      <protection/>
    </xf>
    <xf numFmtId="39" fontId="7" fillId="0" borderId="12" xfId="81" applyNumberFormat="1" applyFont="1" applyFill="1" applyBorder="1" applyAlignment="1">
      <alignment horizontal="center"/>
      <protection/>
    </xf>
    <xf numFmtId="39" fontId="7" fillId="0" borderId="15" xfId="81" applyNumberFormat="1" applyFont="1" applyFill="1" applyBorder="1" applyAlignment="1">
      <alignment horizontal="left"/>
      <protection/>
    </xf>
    <xf numFmtId="39" fontId="7" fillId="0" borderId="17" xfId="81" applyNumberFormat="1" applyFont="1" applyFill="1" applyBorder="1" applyAlignment="1">
      <alignment horizontal="left"/>
      <protection/>
    </xf>
    <xf numFmtId="39" fontId="7" fillId="0" borderId="13" xfId="81" applyNumberFormat="1" applyFont="1" applyFill="1" applyBorder="1" applyAlignment="1">
      <alignment horizontal="center"/>
      <protection/>
    </xf>
    <xf numFmtId="0" fontId="4" fillId="0" borderId="17" xfId="0" applyFont="1" applyFill="1" applyBorder="1" applyAlignment="1">
      <alignment/>
    </xf>
    <xf numFmtId="0" fontId="4" fillId="24" borderId="14" xfId="0" applyFont="1" applyFill="1" applyBorder="1" applyAlignment="1">
      <alignment/>
    </xf>
    <xf numFmtId="2" fontId="16" fillId="22" borderId="17" xfId="0" applyNumberFormat="1" applyFont="1" applyFill="1" applyBorder="1" applyAlignment="1">
      <alignment/>
    </xf>
    <xf numFmtId="1" fontId="16" fillId="22" borderId="15" xfId="0" applyNumberFormat="1" applyFont="1" applyFill="1" applyBorder="1" applyAlignment="1">
      <alignment/>
    </xf>
    <xf numFmtId="0" fontId="4" fillId="0" borderId="0" xfId="0" applyFont="1" applyFill="1" applyBorder="1" applyAlignment="1">
      <alignment/>
    </xf>
    <xf numFmtId="0" fontId="4" fillId="0" borderId="18" xfId="0" applyFont="1" applyFill="1" applyBorder="1" applyAlignment="1">
      <alignment/>
    </xf>
    <xf numFmtId="0" fontId="4" fillId="24" borderId="13" xfId="0" applyFont="1" applyFill="1" applyBorder="1" applyAlignment="1">
      <alignment/>
    </xf>
    <xf numFmtId="0" fontId="4" fillId="22" borderId="17" xfId="0" applyFont="1" applyFill="1" applyBorder="1" applyAlignment="1">
      <alignment/>
    </xf>
    <xf numFmtId="0" fontId="4" fillId="22" borderId="15" xfId="0" applyFont="1" applyFill="1" applyBorder="1" applyAlignment="1">
      <alignment/>
    </xf>
    <xf numFmtId="1" fontId="4" fillId="22" borderId="15" xfId="0" applyNumberFormat="1" applyFont="1" applyFill="1" applyBorder="1" applyAlignment="1">
      <alignment/>
    </xf>
    <xf numFmtId="39" fontId="7" fillId="0" borderId="14" xfId="81" applyNumberFormat="1" applyFont="1" applyFill="1" applyBorder="1" applyAlignment="1">
      <alignment horizontal="center"/>
      <protection/>
    </xf>
    <xf numFmtId="0" fontId="4" fillId="24" borderId="17" xfId="0" applyFont="1" applyFill="1" applyBorder="1" applyAlignment="1">
      <alignment/>
    </xf>
    <xf numFmtId="0" fontId="4" fillId="4" borderId="15" xfId="0" applyFont="1" applyFill="1" applyBorder="1" applyAlignment="1">
      <alignment/>
    </xf>
    <xf numFmtId="0" fontId="4" fillId="24" borderId="0" xfId="0" applyFont="1" applyFill="1" applyBorder="1" applyAlignment="1">
      <alignment/>
    </xf>
    <xf numFmtId="2" fontId="4" fillId="11" borderId="15" xfId="0" applyNumberFormat="1" applyFont="1" applyFill="1" applyBorder="1" applyAlignment="1" applyProtection="1">
      <alignment/>
      <protection locked="0"/>
    </xf>
    <xf numFmtId="1" fontId="4" fillId="11" borderId="13" xfId="0" applyNumberFormat="1" applyFont="1" applyFill="1" applyBorder="1" applyAlignment="1" applyProtection="1">
      <alignment/>
      <protection locked="0"/>
    </xf>
    <xf numFmtId="0" fontId="9" fillId="0" borderId="0" xfId="0" applyFont="1" applyAlignment="1">
      <alignment/>
    </xf>
    <xf numFmtId="2" fontId="16" fillId="4" borderId="18" xfId="0" applyNumberFormat="1" applyFont="1" applyFill="1" applyBorder="1" applyAlignment="1">
      <alignment/>
    </xf>
    <xf numFmtId="1" fontId="16" fillId="4" borderId="23" xfId="0" applyNumberFormat="1" applyFont="1" applyFill="1" applyBorder="1" applyAlignment="1">
      <alignment/>
    </xf>
    <xf numFmtId="0" fontId="4" fillId="24" borderId="20" xfId="0" applyFont="1" applyFill="1" applyBorder="1" applyAlignment="1">
      <alignment/>
    </xf>
    <xf numFmtId="0" fontId="4" fillId="4" borderId="18" xfId="0" applyFont="1" applyFill="1" applyBorder="1" applyAlignment="1">
      <alignment/>
    </xf>
    <xf numFmtId="0" fontId="4" fillId="4" borderId="23" xfId="0" applyFont="1" applyFill="1" applyBorder="1" applyAlignment="1">
      <alignment/>
    </xf>
    <xf numFmtId="1" fontId="4" fillId="4" borderId="23" xfId="0" applyNumberFormat="1" applyFont="1" applyFill="1" applyBorder="1" applyAlignment="1">
      <alignment/>
    </xf>
    <xf numFmtId="0" fontId="4" fillId="24" borderId="18" xfId="0" applyFont="1" applyFill="1" applyBorder="1" applyAlignment="1">
      <alignment/>
    </xf>
    <xf numFmtId="0" fontId="4" fillId="27" borderId="23" xfId="0" applyFont="1" applyFill="1" applyBorder="1" applyAlignment="1">
      <alignment/>
    </xf>
    <xf numFmtId="2" fontId="4" fillId="11" borderId="23" xfId="0" applyNumberFormat="1" applyFont="1" applyFill="1" applyBorder="1" applyAlignment="1" applyProtection="1">
      <alignment/>
      <protection locked="0"/>
    </xf>
    <xf numFmtId="1" fontId="4" fillId="11" borderId="20" xfId="0" applyNumberFormat="1" applyFont="1" applyFill="1" applyBorder="1" applyAlignment="1" applyProtection="1">
      <alignment/>
      <protection locked="0"/>
    </xf>
    <xf numFmtId="2" fontId="16" fillId="27" borderId="18" xfId="0" applyNumberFormat="1" applyFont="1" applyFill="1" applyBorder="1" applyAlignment="1">
      <alignment/>
    </xf>
    <xf numFmtId="1" fontId="16" fillId="27" borderId="23" xfId="0" applyNumberFormat="1" applyFont="1" applyFill="1" applyBorder="1" applyAlignment="1">
      <alignment/>
    </xf>
    <xf numFmtId="0" fontId="4" fillId="27" borderId="18" xfId="0" applyFont="1" applyFill="1" applyBorder="1" applyAlignment="1">
      <alignment/>
    </xf>
    <xf numFmtId="1" fontId="4" fillId="27" borderId="23" xfId="0" applyNumberFormat="1" applyFont="1" applyFill="1" applyBorder="1" applyAlignment="1">
      <alignment/>
    </xf>
    <xf numFmtId="0" fontId="4" fillId="8" borderId="23" xfId="0" applyFont="1" applyFill="1" applyBorder="1" applyAlignment="1">
      <alignment/>
    </xf>
    <xf numFmtId="0" fontId="4" fillId="8" borderId="18" xfId="0" applyFont="1" applyFill="1" applyBorder="1" applyAlignment="1">
      <alignment/>
    </xf>
    <xf numFmtId="2" fontId="4" fillId="8" borderId="23" xfId="0" applyNumberFormat="1" applyFont="1" applyFill="1" applyBorder="1" applyAlignment="1" applyProtection="1">
      <alignment/>
      <protection locked="0"/>
    </xf>
    <xf numFmtId="1" fontId="4" fillId="8" borderId="20" xfId="0" applyNumberFormat="1" applyFont="1" applyFill="1" applyBorder="1" applyAlignment="1" applyProtection="1">
      <alignment/>
      <protection locked="0"/>
    </xf>
    <xf numFmtId="1" fontId="4" fillId="8" borderId="23" xfId="0" applyNumberFormat="1" applyFont="1" applyFill="1" applyBorder="1" applyAlignment="1">
      <alignment/>
    </xf>
    <xf numFmtId="2" fontId="16" fillId="8" borderId="18" xfId="0" applyNumberFormat="1" applyFont="1" applyFill="1" applyBorder="1" applyAlignment="1">
      <alignment/>
    </xf>
    <xf numFmtId="1" fontId="16" fillId="8" borderId="23" xfId="0" applyNumberFormat="1" applyFont="1" applyFill="1" applyBorder="1" applyAlignment="1">
      <alignment/>
    </xf>
    <xf numFmtId="0" fontId="4" fillId="0" borderId="20" xfId="0" applyFont="1" applyFill="1" applyBorder="1" applyAlignment="1">
      <alignment/>
    </xf>
    <xf numFmtId="0" fontId="4" fillId="11" borderId="23" xfId="0" applyFont="1" applyFill="1" applyBorder="1" applyAlignment="1">
      <alignment/>
    </xf>
    <xf numFmtId="0" fontId="4" fillId="11" borderId="18" xfId="0" applyFont="1" applyFill="1" applyBorder="1" applyAlignment="1">
      <alignment/>
    </xf>
    <xf numFmtId="1" fontId="4" fillId="11" borderId="23" xfId="0" applyNumberFormat="1" applyFont="1" applyFill="1" applyBorder="1" applyAlignment="1">
      <alignment/>
    </xf>
    <xf numFmtId="0" fontId="4" fillId="11" borderId="24" xfId="0" applyFont="1" applyFill="1" applyBorder="1" applyAlignment="1">
      <alignment/>
    </xf>
    <xf numFmtId="0" fontId="4" fillId="22" borderId="23"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2" xfId="0" applyFont="1" applyFill="1" applyBorder="1" applyAlignment="1" applyProtection="1">
      <alignment/>
      <protection locked="0"/>
    </xf>
    <xf numFmtId="0" fontId="4" fillId="0" borderId="21" xfId="0" applyFont="1" applyFill="1" applyBorder="1" applyAlignment="1">
      <alignment/>
    </xf>
    <xf numFmtId="0" fontId="39" fillId="0" borderId="19" xfId="0" applyFont="1" applyBorder="1" applyAlignment="1">
      <alignment/>
    </xf>
    <xf numFmtId="1" fontId="4" fillId="11" borderId="24" xfId="0" applyNumberFormat="1" applyFont="1" applyFill="1" applyBorder="1" applyAlignment="1">
      <alignment/>
    </xf>
    <xf numFmtId="0" fontId="4" fillId="0" borderId="16" xfId="0" applyFont="1" applyFill="1" applyBorder="1" applyAlignment="1" applyProtection="1">
      <alignment/>
      <protection locked="0"/>
    </xf>
    <xf numFmtId="43" fontId="4" fillId="0" borderId="12" xfId="59" applyFont="1" applyFill="1" applyBorder="1" applyAlignment="1" applyProtection="1">
      <alignment/>
      <protection locked="0"/>
    </xf>
    <xf numFmtId="43" fontId="4" fillId="0" borderId="16" xfId="59" applyFont="1" applyFill="1" applyBorder="1" applyAlignment="1" applyProtection="1">
      <alignment/>
      <protection locked="0"/>
    </xf>
    <xf numFmtId="2" fontId="4" fillId="27" borderId="23" xfId="0" applyNumberFormat="1" applyFont="1" applyFill="1" applyBorder="1" applyAlignment="1" applyProtection="1">
      <alignment/>
      <protection locked="0"/>
    </xf>
    <xf numFmtId="1" fontId="4" fillId="27" borderId="20" xfId="0" applyNumberFormat="1" applyFont="1" applyFill="1" applyBorder="1" applyAlignment="1" applyProtection="1">
      <alignment/>
      <protection locked="0"/>
    </xf>
    <xf numFmtId="2" fontId="16" fillId="11" borderId="18" xfId="0" applyNumberFormat="1" applyFont="1" applyFill="1" applyBorder="1" applyAlignment="1">
      <alignment/>
    </xf>
    <xf numFmtId="1" fontId="16" fillId="11" borderId="23" xfId="0" applyNumberFormat="1" applyFont="1" applyFill="1" applyBorder="1" applyAlignment="1">
      <alignment/>
    </xf>
    <xf numFmtId="0" fontId="39" fillId="0" borderId="11" xfId="0" applyFont="1" applyBorder="1" applyAlignment="1">
      <alignment/>
    </xf>
    <xf numFmtId="0" fontId="39" fillId="0" borderId="10" xfId="0" applyFont="1" applyBorder="1" applyAlignment="1">
      <alignment/>
    </xf>
    <xf numFmtId="0" fontId="39" fillId="0" borderId="16" xfId="0" applyFont="1" applyFill="1" applyBorder="1" applyAlignment="1">
      <alignment/>
    </xf>
    <xf numFmtId="1" fontId="39" fillId="0" borderId="16" xfId="0" applyNumberFormat="1" applyFont="1" applyFill="1" applyBorder="1" applyAlignment="1">
      <alignment/>
    </xf>
    <xf numFmtId="0" fontId="0" fillId="0" borderId="0" xfId="0" applyFont="1" applyBorder="1" applyAlignment="1">
      <alignment/>
    </xf>
    <xf numFmtId="0" fontId="4" fillId="0" borderId="19"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16" xfId="0" applyFont="1" applyBorder="1" applyAlignment="1">
      <alignment/>
    </xf>
    <xf numFmtId="0" fontId="52" fillId="24" borderId="0" xfId="0" applyFont="1" applyFill="1" applyBorder="1" applyAlignment="1">
      <alignment/>
    </xf>
    <xf numFmtId="2" fontId="4" fillId="4" borderId="23" xfId="0" applyNumberFormat="1" applyFont="1" applyFill="1" applyBorder="1" applyAlignment="1" applyProtection="1">
      <alignment/>
      <protection locked="0"/>
    </xf>
    <xf numFmtId="1" fontId="4" fillId="4" borderId="20" xfId="0" applyNumberFormat="1" applyFont="1" applyFill="1" applyBorder="1" applyAlignment="1" applyProtection="1">
      <alignment/>
      <protection locked="0"/>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2" fontId="4" fillId="22" borderId="23" xfId="0" applyNumberFormat="1" applyFont="1" applyFill="1" applyBorder="1" applyAlignment="1" applyProtection="1">
      <alignment/>
      <protection locked="0"/>
    </xf>
    <xf numFmtId="1" fontId="4" fillId="22" borderId="20" xfId="0" applyNumberFormat="1" applyFont="1" applyFill="1" applyBorder="1" applyAlignment="1" applyProtection="1">
      <alignment/>
      <protection locked="0"/>
    </xf>
    <xf numFmtId="0" fontId="4" fillId="0" borderId="19" xfId="0" applyFont="1" applyFill="1" applyBorder="1" applyAlignment="1" applyProtection="1">
      <alignment/>
      <protection locked="0"/>
    </xf>
    <xf numFmtId="3" fontId="4" fillId="0" borderId="24" xfId="0" applyNumberFormat="1" applyFont="1" applyFill="1" applyBorder="1" applyAlignment="1" applyProtection="1">
      <alignment/>
      <protection locked="0"/>
    </xf>
    <xf numFmtId="0" fontId="7" fillId="0" borderId="11" xfId="0" applyFont="1" applyFill="1" applyBorder="1" applyAlignment="1">
      <alignment/>
    </xf>
    <xf numFmtId="3" fontId="4" fillId="0" borderId="16" xfId="0" applyNumberFormat="1" applyFont="1" applyFill="1" applyBorder="1" applyAlignment="1">
      <alignment/>
    </xf>
    <xf numFmtId="3" fontId="4" fillId="0" borderId="0" xfId="0" applyNumberFormat="1" applyFont="1" applyFill="1" applyBorder="1" applyAlignment="1" applyProtection="1">
      <alignment/>
      <protection locked="0"/>
    </xf>
    <xf numFmtId="0" fontId="39" fillId="0" borderId="18" xfId="0" applyFont="1" applyBorder="1" applyAlignment="1">
      <alignment/>
    </xf>
    <xf numFmtId="3" fontId="16" fillId="22" borderId="13" xfId="0" applyNumberFormat="1" applyFont="1" applyFill="1" applyBorder="1" applyAlignment="1">
      <alignment/>
    </xf>
    <xf numFmtId="3" fontId="16" fillId="4" borderId="20" xfId="0" applyNumberFormat="1" applyFont="1" applyFill="1" applyBorder="1" applyAlignment="1">
      <alignment/>
    </xf>
    <xf numFmtId="3" fontId="16" fillId="27" borderId="20" xfId="0" applyNumberFormat="1" applyFont="1" applyFill="1" applyBorder="1" applyAlignment="1">
      <alignment/>
    </xf>
    <xf numFmtId="3" fontId="16" fillId="8" borderId="20" xfId="0" applyNumberFormat="1" applyFont="1" applyFill="1" applyBorder="1" applyAlignment="1">
      <alignment/>
    </xf>
    <xf numFmtId="3" fontId="16" fillId="11" borderId="20" xfId="0" applyNumberFormat="1" applyFont="1" applyFill="1" applyBorder="1" applyAlignment="1">
      <alignment/>
    </xf>
    <xf numFmtId="0" fontId="42" fillId="0" borderId="11" xfId="0" applyFont="1" applyFill="1" applyBorder="1" applyAlignment="1">
      <alignment/>
    </xf>
    <xf numFmtId="0" fontId="39" fillId="0" borderId="10" xfId="0" applyFont="1" applyFill="1" applyBorder="1" applyAlignment="1">
      <alignment/>
    </xf>
    <xf numFmtId="3" fontId="16" fillId="0" borderId="11" xfId="0" applyNumberFormat="1" applyFont="1" applyFill="1" applyBorder="1" applyAlignment="1">
      <alignment/>
    </xf>
    <xf numFmtId="3" fontId="16" fillId="0" borderId="12" xfId="0" applyNumberFormat="1" applyFont="1" applyFill="1" applyBorder="1" applyAlignment="1">
      <alignment/>
    </xf>
    <xf numFmtId="3" fontId="16" fillId="0" borderId="0" xfId="0" applyNumberFormat="1" applyFont="1" applyFill="1" applyBorder="1" applyAlignment="1">
      <alignment/>
    </xf>
    <xf numFmtId="1" fontId="4" fillId="4" borderId="15" xfId="0" applyNumberFormat="1" applyFont="1" applyFill="1" applyBorder="1" applyAlignment="1">
      <alignment/>
    </xf>
    <xf numFmtId="2" fontId="4" fillId="11" borderId="13" xfId="0" applyNumberFormat="1" applyFont="1" applyFill="1" applyBorder="1" applyAlignment="1" applyProtection="1">
      <alignment/>
      <protection locked="0"/>
    </xf>
    <xf numFmtId="2" fontId="4" fillId="22" borderId="17" xfId="0" applyNumberFormat="1" applyFont="1" applyFill="1" applyBorder="1" applyAlignment="1">
      <alignment/>
    </xf>
    <xf numFmtId="2" fontId="4" fillId="11" borderId="20" xfId="0" applyNumberFormat="1" applyFont="1" applyFill="1" applyBorder="1" applyAlignment="1" applyProtection="1">
      <alignment/>
      <protection locked="0"/>
    </xf>
    <xf numFmtId="2" fontId="4" fillId="4" borderId="18" xfId="0" applyNumberFormat="1" applyFont="1" applyFill="1" applyBorder="1" applyAlignment="1">
      <alignment/>
    </xf>
    <xf numFmtId="2" fontId="4" fillId="27" borderId="18" xfId="0" applyNumberFormat="1" applyFont="1" applyFill="1" applyBorder="1" applyAlignment="1">
      <alignment/>
    </xf>
    <xf numFmtId="2" fontId="4" fillId="8" borderId="20" xfId="0" applyNumberFormat="1" applyFont="1" applyFill="1" applyBorder="1" applyAlignment="1" applyProtection="1">
      <alignment/>
      <protection locked="0"/>
    </xf>
    <xf numFmtId="2" fontId="4" fillId="8" borderId="18" xfId="0" applyNumberFormat="1" applyFont="1" applyFill="1" applyBorder="1" applyAlignment="1">
      <alignment/>
    </xf>
    <xf numFmtId="1" fontId="4" fillId="22" borderId="23" xfId="0" applyNumberFormat="1" applyFont="1" applyFill="1" applyBorder="1" applyAlignment="1">
      <alignment/>
    </xf>
    <xf numFmtId="2" fontId="4" fillId="11" borderId="18" xfId="0" applyNumberFormat="1" applyFont="1" applyFill="1" applyBorder="1" applyAlignment="1">
      <alignment/>
    </xf>
    <xf numFmtId="1" fontId="4" fillId="0" borderId="16" xfId="0" applyNumberFormat="1" applyFont="1" applyFill="1" applyBorder="1" applyAlignment="1" applyProtection="1">
      <alignment/>
      <protection locked="0"/>
    </xf>
    <xf numFmtId="1" fontId="4" fillId="0" borderId="16" xfId="59" applyNumberFormat="1" applyFont="1" applyFill="1" applyBorder="1" applyAlignment="1" applyProtection="1">
      <alignment/>
      <protection locked="0"/>
    </xf>
    <xf numFmtId="2" fontId="4" fillId="27" borderId="20" xfId="0" applyNumberFormat="1" applyFont="1" applyFill="1" applyBorder="1" applyAlignment="1" applyProtection="1">
      <alignment/>
      <protection locked="0"/>
    </xf>
    <xf numFmtId="0" fontId="4" fillId="0" borderId="20" xfId="0" applyFont="1" applyBorder="1" applyAlignment="1">
      <alignment/>
    </xf>
    <xf numFmtId="2" fontId="4" fillId="4" borderId="20" xfId="0" applyNumberFormat="1" applyFont="1" applyFill="1" applyBorder="1" applyAlignment="1" applyProtection="1">
      <alignment/>
      <protection locked="0"/>
    </xf>
    <xf numFmtId="0" fontId="4" fillId="0" borderId="16" xfId="0" applyFont="1" applyBorder="1" applyAlignment="1">
      <alignment/>
    </xf>
    <xf numFmtId="1" fontId="4" fillId="0" borderId="16" xfId="0" applyNumberFormat="1" applyFont="1" applyBorder="1" applyAlignment="1">
      <alignment/>
    </xf>
    <xf numFmtId="0" fontId="4" fillId="0" borderId="11" xfId="0" applyFont="1" applyBorder="1" applyAlignment="1">
      <alignment/>
    </xf>
    <xf numFmtId="0" fontId="4" fillId="0" borderId="12" xfId="0" applyFont="1" applyBorder="1" applyAlignment="1">
      <alignment/>
    </xf>
    <xf numFmtId="2" fontId="4" fillId="22" borderId="24" xfId="0" applyNumberFormat="1" applyFont="1" applyFill="1" applyBorder="1" applyAlignment="1" applyProtection="1">
      <alignment/>
      <protection locked="0"/>
    </xf>
    <xf numFmtId="2" fontId="4" fillId="22" borderId="20" xfId="0" applyNumberFormat="1" applyFont="1" applyFill="1" applyBorder="1" applyAlignment="1" applyProtection="1">
      <alignment/>
      <protection locked="0"/>
    </xf>
    <xf numFmtId="1" fontId="39" fillId="0" borderId="0" xfId="0" applyNumberFormat="1" applyFont="1" applyAlignment="1">
      <alignment/>
    </xf>
    <xf numFmtId="1" fontId="0" fillId="0" borderId="0" xfId="0" applyNumberFormat="1" applyFont="1" applyAlignment="1">
      <alignment/>
    </xf>
    <xf numFmtId="1" fontId="4" fillId="22" borderId="22" xfId="0" applyNumberFormat="1" applyFont="1" applyFill="1" applyBorder="1" applyAlignment="1" applyProtection="1">
      <alignment/>
      <protection locked="0"/>
    </xf>
    <xf numFmtId="1" fontId="4" fillId="11" borderId="15" xfId="0" applyNumberFormat="1" applyFont="1" applyFill="1" applyBorder="1" applyAlignment="1" applyProtection="1">
      <alignment/>
      <protection locked="0"/>
    </xf>
    <xf numFmtId="1" fontId="4" fillId="11" borderId="23" xfId="0" applyNumberFormat="1" applyFont="1" applyFill="1" applyBorder="1" applyAlignment="1" applyProtection="1">
      <alignment/>
      <protection locked="0"/>
    </xf>
    <xf numFmtId="1" fontId="4" fillId="8" borderId="23" xfId="0" applyNumberFormat="1" applyFont="1" applyFill="1" applyBorder="1" applyAlignment="1" applyProtection="1">
      <alignment/>
      <protection locked="0"/>
    </xf>
    <xf numFmtId="1" fontId="4" fillId="27" borderId="23" xfId="0" applyNumberFormat="1" applyFont="1" applyFill="1" applyBorder="1" applyAlignment="1" applyProtection="1">
      <alignment/>
      <protection locked="0"/>
    </xf>
    <xf numFmtId="1" fontId="4" fillId="4" borderId="23" xfId="0" applyNumberFormat="1" applyFont="1" applyFill="1" applyBorder="1" applyAlignment="1" applyProtection="1">
      <alignment/>
      <protection locked="0"/>
    </xf>
    <xf numFmtId="1" fontId="4" fillId="22" borderId="24" xfId="0" applyNumberFormat="1" applyFont="1" applyFill="1" applyBorder="1" applyAlignment="1" applyProtection="1">
      <alignment/>
      <protection locked="0"/>
    </xf>
    <xf numFmtId="0" fontId="39" fillId="11" borderId="18" xfId="0" applyFont="1" applyFill="1" applyBorder="1" applyAlignment="1">
      <alignment/>
    </xf>
    <xf numFmtId="2" fontId="39" fillId="11" borderId="0" xfId="0" applyNumberFormat="1" applyFont="1" applyFill="1" applyBorder="1" applyAlignment="1">
      <alignment/>
    </xf>
    <xf numFmtId="2" fontId="39" fillId="11" borderId="20" xfId="0" applyNumberFormat="1" applyFont="1" applyFill="1" applyBorder="1" applyAlignment="1">
      <alignment/>
    </xf>
    <xf numFmtId="0" fontId="39" fillId="35" borderId="21" xfId="0" applyFont="1" applyFill="1" applyBorder="1" applyAlignment="1">
      <alignment/>
    </xf>
    <xf numFmtId="2" fontId="39" fillId="35" borderId="19" xfId="0" applyNumberFormat="1" applyFont="1" applyFill="1" applyBorder="1" applyAlignment="1">
      <alignment/>
    </xf>
    <xf numFmtId="2" fontId="39" fillId="35" borderId="22" xfId="0" applyNumberFormat="1" applyFont="1" applyFill="1" applyBorder="1" applyAlignment="1">
      <alignment/>
    </xf>
    <xf numFmtId="2" fontId="4" fillId="24" borderId="15" xfId="0" applyNumberFormat="1" applyFont="1" applyFill="1" applyBorder="1" applyAlignment="1" applyProtection="1">
      <alignment/>
      <protection locked="0"/>
    </xf>
    <xf numFmtId="3" fontId="4" fillId="24" borderId="13" xfId="0" applyNumberFormat="1" applyFont="1" applyFill="1" applyBorder="1" applyAlignment="1" applyProtection="1">
      <alignment/>
      <protection locked="0"/>
    </xf>
    <xf numFmtId="2" fontId="4" fillId="24" borderId="13" xfId="0" applyNumberFormat="1" applyFont="1" applyFill="1" applyBorder="1" applyAlignment="1" applyProtection="1">
      <alignment/>
      <protection locked="0"/>
    </xf>
    <xf numFmtId="1" fontId="4" fillId="24" borderId="13" xfId="0" applyNumberFormat="1" applyFont="1" applyFill="1" applyBorder="1" applyAlignment="1" applyProtection="1">
      <alignment/>
      <protection locked="0"/>
    </xf>
    <xf numFmtId="2" fontId="4" fillId="22" borderId="15" xfId="0" applyNumberFormat="1" applyFont="1" applyFill="1" applyBorder="1" applyAlignment="1" applyProtection="1">
      <alignment/>
      <protection locked="0"/>
    </xf>
    <xf numFmtId="1" fontId="4" fillId="22" borderId="15" xfId="0" applyNumberFormat="1" applyFont="1" applyFill="1" applyBorder="1" applyAlignment="1" applyProtection="1">
      <alignment/>
      <protection locked="0"/>
    </xf>
    <xf numFmtId="43" fontId="4" fillId="4" borderId="15" xfId="59" applyFont="1" applyFill="1" applyBorder="1" applyAlignment="1" applyProtection="1">
      <alignment/>
      <protection locked="0"/>
    </xf>
    <xf numFmtId="186" fontId="4" fillId="4" borderId="13" xfId="59" applyNumberFormat="1" applyFont="1" applyFill="1" applyBorder="1" applyAlignment="1" applyProtection="1">
      <alignment/>
      <protection locked="0"/>
    </xf>
    <xf numFmtId="1" fontId="4" fillId="24" borderId="15" xfId="0" applyNumberFormat="1" applyFont="1" applyFill="1" applyBorder="1" applyAlignment="1" applyProtection="1">
      <alignment/>
      <protection locked="0"/>
    </xf>
    <xf numFmtId="2" fontId="4" fillId="35" borderId="15" xfId="0" applyNumberFormat="1" applyFont="1" applyFill="1" applyBorder="1" applyAlignment="1" applyProtection="1">
      <alignment/>
      <protection locked="0"/>
    </xf>
    <xf numFmtId="1" fontId="4" fillId="35" borderId="15" xfId="0" applyNumberFormat="1" applyFont="1" applyFill="1" applyBorder="1" applyAlignment="1" applyProtection="1">
      <alignment/>
      <protection locked="0"/>
    </xf>
    <xf numFmtId="2" fontId="4" fillId="24" borderId="23" xfId="0" applyNumberFormat="1" applyFont="1" applyFill="1" applyBorder="1" applyAlignment="1" applyProtection="1">
      <alignment/>
      <protection locked="0"/>
    </xf>
    <xf numFmtId="3" fontId="4" fillId="24" borderId="20" xfId="0" applyNumberFormat="1" applyFont="1" applyFill="1" applyBorder="1" applyAlignment="1" applyProtection="1">
      <alignment/>
      <protection locked="0"/>
    </xf>
    <xf numFmtId="2" fontId="4" fillId="24" borderId="20" xfId="0" applyNumberFormat="1" applyFont="1" applyFill="1" applyBorder="1" applyAlignment="1" applyProtection="1">
      <alignment/>
      <protection locked="0"/>
    </xf>
    <xf numFmtId="1" fontId="4" fillId="24" borderId="20" xfId="0" applyNumberFormat="1" applyFont="1" applyFill="1" applyBorder="1" applyAlignment="1" applyProtection="1">
      <alignment/>
      <protection locked="0"/>
    </xf>
    <xf numFmtId="43" fontId="4" fillId="27" borderId="23" xfId="59" applyFont="1" applyFill="1" applyBorder="1" applyAlignment="1" applyProtection="1">
      <alignment/>
      <protection locked="0"/>
    </xf>
    <xf numFmtId="186" fontId="4" fillId="27" borderId="20" xfId="59" applyNumberFormat="1" applyFont="1" applyFill="1" applyBorder="1" applyAlignment="1" applyProtection="1">
      <alignment/>
      <protection locked="0"/>
    </xf>
    <xf numFmtId="1" fontId="4" fillId="24" borderId="23" xfId="0" applyNumberFormat="1" applyFont="1" applyFill="1" applyBorder="1" applyAlignment="1" applyProtection="1">
      <alignment/>
      <protection locked="0"/>
    </xf>
    <xf numFmtId="4" fontId="4" fillId="35" borderId="20" xfId="0" applyNumberFormat="1" applyFont="1" applyFill="1" applyBorder="1" applyAlignment="1" applyProtection="1">
      <alignment/>
      <protection locked="0"/>
    </xf>
    <xf numFmtId="1" fontId="4" fillId="35" borderId="20" xfId="0" applyNumberFormat="1" applyFont="1" applyFill="1" applyBorder="1" applyAlignment="1" applyProtection="1">
      <alignment/>
      <protection locked="0"/>
    </xf>
    <xf numFmtId="2" fontId="4" fillId="35" borderId="20" xfId="0" applyNumberFormat="1" applyFont="1" applyFill="1" applyBorder="1" applyAlignment="1" applyProtection="1">
      <alignment/>
      <protection locked="0"/>
    </xf>
    <xf numFmtId="2" fontId="4" fillId="35" borderId="23" xfId="0" applyNumberFormat="1" applyFont="1" applyFill="1" applyBorder="1" applyAlignment="1" applyProtection="1">
      <alignment/>
      <protection locked="0"/>
    </xf>
    <xf numFmtId="4" fontId="4" fillId="24" borderId="20" xfId="0" applyNumberFormat="1" applyFont="1" applyFill="1" applyBorder="1" applyAlignment="1" applyProtection="1">
      <alignment/>
      <protection locked="0"/>
    </xf>
    <xf numFmtId="43" fontId="4" fillId="8" borderId="23" xfId="59" applyFont="1" applyFill="1" applyBorder="1" applyAlignment="1" applyProtection="1">
      <alignment/>
      <protection locked="0"/>
    </xf>
    <xf numFmtId="186" fontId="4" fillId="8" borderId="20" xfId="59" applyNumberFormat="1" applyFont="1" applyFill="1" applyBorder="1" applyAlignment="1" applyProtection="1">
      <alignment/>
      <protection locked="0"/>
    </xf>
    <xf numFmtId="4" fontId="4" fillId="11" borderId="23" xfId="0" applyNumberFormat="1" applyFont="1" applyFill="1" applyBorder="1" applyAlignment="1" applyProtection="1">
      <alignment/>
      <protection locked="0"/>
    </xf>
    <xf numFmtId="4" fontId="4" fillId="11" borderId="20" xfId="0" applyNumberFormat="1" applyFont="1" applyFill="1" applyBorder="1" applyAlignment="1" applyProtection="1">
      <alignment/>
      <protection locked="0"/>
    </xf>
    <xf numFmtId="4" fontId="4" fillId="8" borderId="23" xfId="0" applyNumberFormat="1" applyFont="1" applyFill="1" applyBorder="1" applyAlignment="1" applyProtection="1">
      <alignment/>
      <protection locked="0"/>
    </xf>
    <xf numFmtId="3" fontId="4" fillId="8" borderId="20" xfId="0" applyNumberFormat="1" applyFont="1" applyFill="1" applyBorder="1" applyAlignment="1" applyProtection="1">
      <alignment/>
      <protection locked="0"/>
    </xf>
    <xf numFmtId="1" fontId="4" fillId="35" borderId="23" xfId="0" applyNumberFormat="1" applyFont="1" applyFill="1" applyBorder="1" applyAlignment="1" applyProtection="1">
      <alignment/>
      <protection locked="0"/>
    </xf>
    <xf numFmtId="43" fontId="4" fillId="11" borderId="23" xfId="59" applyFont="1" applyFill="1" applyBorder="1" applyAlignment="1" applyProtection="1">
      <alignment/>
      <protection locked="0"/>
    </xf>
    <xf numFmtId="186" fontId="4" fillId="11" borderId="20" xfId="59" applyNumberFormat="1" applyFont="1" applyFill="1" applyBorder="1" applyAlignment="1" applyProtection="1">
      <alignment/>
      <protection locked="0"/>
    </xf>
    <xf numFmtId="4" fontId="4" fillId="27" borderId="23" xfId="0" applyNumberFormat="1" applyFont="1" applyFill="1" applyBorder="1" applyAlignment="1" applyProtection="1">
      <alignment/>
      <protection locked="0"/>
    </xf>
    <xf numFmtId="3" fontId="4" fillId="27" borderId="20" xfId="0" applyNumberFormat="1" applyFont="1" applyFill="1" applyBorder="1" applyAlignment="1" applyProtection="1">
      <alignment/>
      <protection locked="0"/>
    </xf>
    <xf numFmtId="3" fontId="39" fillId="0" borderId="0" xfId="0" applyNumberFormat="1" applyFont="1" applyAlignment="1">
      <alignment/>
    </xf>
    <xf numFmtId="43" fontId="4" fillId="35" borderId="23" xfId="59" applyFont="1" applyFill="1" applyBorder="1" applyAlignment="1" applyProtection="1">
      <alignment/>
      <protection locked="0"/>
    </xf>
    <xf numFmtId="186" fontId="4" fillId="35" borderId="20" xfId="59" applyNumberFormat="1" applyFont="1" applyFill="1" applyBorder="1" applyAlignment="1" applyProtection="1">
      <alignment/>
      <protection locked="0"/>
    </xf>
    <xf numFmtId="4" fontId="4" fillId="4" borderId="23" xfId="0" applyNumberFormat="1" applyFont="1" applyFill="1" applyBorder="1" applyAlignment="1" applyProtection="1">
      <alignment/>
      <protection locked="0"/>
    </xf>
    <xf numFmtId="3" fontId="4" fillId="4" borderId="20" xfId="0" applyNumberFormat="1" applyFont="1" applyFill="1" applyBorder="1" applyAlignment="1" applyProtection="1">
      <alignment/>
      <protection locked="0"/>
    </xf>
    <xf numFmtId="43" fontId="4" fillId="22" borderId="23" xfId="59" applyFont="1" applyFill="1" applyBorder="1" applyAlignment="1" applyProtection="1">
      <alignment/>
      <protection locked="0"/>
    </xf>
    <xf numFmtId="186" fontId="4" fillId="22" borderId="20" xfId="59" applyNumberFormat="1" applyFont="1" applyFill="1" applyBorder="1" applyAlignment="1" applyProtection="1">
      <alignment/>
      <protection locked="0"/>
    </xf>
    <xf numFmtId="4" fontId="4" fillId="22" borderId="24" xfId="0" applyNumberFormat="1" applyFont="1" applyFill="1" applyBorder="1" applyAlignment="1" applyProtection="1">
      <alignment/>
      <protection locked="0"/>
    </xf>
    <xf numFmtId="3" fontId="4" fillId="22" borderId="20" xfId="0" applyNumberFormat="1" applyFont="1" applyFill="1" applyBorder="1" applyAlignment="1" applyProtection="1">
      <alignment/>
      <protection locked="0"/>
    </xf>
    <xf numFmtId="1" fontId="4" fillId="22" borderId="23" xfId="0" applyNumberFormat="1" applyFont="1" applyFill="1" applyBorder="1" applyAlignment="1" applyProtection="1">
      <alignment/>
      <protection locked="0"/>
    </xf>
    <xf numFmtId="0" fontId="4" fillId="0" borderId="22" xfId="0" applyFont="1" applyFill="1" applyBorder="1" applyAlignment="1" applyProtection="1">
      <alignment/>
      <protection locked="0"/>
    </xf>
    <xf numFmtId="3" fontId="4" fillId="0" borderId="12" xfId="0" applyNumberFormat="1" applyFont="1" applyFill="1" applyBorder="1" applyAlignment="1" applyProtection="1">
      <alignment/>
      <protection locked="0"/>
    </xf>
    <xf numFmtId="0" fontId="7" fillId="0" borderId="0" xfId="0" applyFont="1" applyFill="1" applyBorder="1" applyAlignment="1">
      <alignment/>
    </xf>
    <xf numFmtId="3" fontId="4" fillId="0" borderId="0" xfId="0" applyNumberFormat="1" applyFont="1" applyFill="1" applyBorder="1" applyAlignment="1">
      <alignment/>
    </xf>
    <xf numFmtId="39" fontId="7" fillId="0" borderId="16" xfId="81" applyNumberFormat="1" applyFont="1" applyFill="1" applyBorder="1" applyAlignment="1">
      <alignment horizontal="left"/>
      <protection/>
    </xf>
    <xf numFmtId="0" fontId="4" fillId="0" borderId="13" xfId="0" applyFont="1" applyBorder="1" applyAlignment="1">
      <alignment/>
    </xf>
    <xf numFmtId="0" fontId="4" fillId="4" borderId="15" xfId="0" applyFont="1" applyFill="1" applyBorder="1" applyAlignment="1">
      <alignment/>
    </xf>
    <xf numFmtId="0" fontId="4" fillId="0" borderId="0" xfId="0" applyFont="1" applyAlignment="1">
      <alignment/>
    </xf>
    <xf numFmtId="1" fontId="4" fillId="4" borderId="15" xfId="0" applyNumberFormat="1" applyFont="1" applyFill="1" applyBorder="1" applyAlignment="1">
      <alignment/>
    </xf>
    <xf numFmtId="0" fontId="4" fillId="0" borderId="21" xfId="0" applyFont="1" applyBorder="1" applyAlignment="1">
      <alignment/>
    </xf>
    <xf numFmtId="0" fontId="4" fillId="0" borderId="22" xfId="0" applyFont="1" applyBorder="1" applyAlignment="1">
      <alignment/>
    </xf>
    <xf numFmtId="0" fontId="4" fillId="4" borderId="24" xfId="0" applyFont="1" applyFill="1" applyBorder="1" applyAlignment="1">
      <alignment/>
    </xf>
    <xf numFmtId="1" fontId="4" fillId="4" borderId="24" xfId="0" applyNumberFormat="1" applyFont="1" applyFill="1" applyBorder="1" applyAlignment="1">
      <alignment/>
    </xf>
    <xf numFmtId="0" fontId="16" fillId="0" borderId="18" xfId="0" applyFont="1" applyBorder="1" applyAlignment="1">
      <alignment/>
    </xf>
    <xf numFmtId="0" fontId="16" fillId="0" borderId="0" xfId="0" applyFont="1" applyBorder="1" applyAlignment="1">
      <alignment/>
    </xf>
    <xf numFmtId="0" fontId="16" fillId="0" borderId="21" xfId="0" applyFont="1" applyBorder="1" applyAlignment="1">
      <alignment/>
    </xf>
    <xf numFmtId="0" fontId="16" fillId="0" borderId="19" xfId="0" applyFont="1" applyBorder="1" applyAlignment="1">
      <alignment/>
    </xf>
    <xf numFmtId="2" fontId="16" fillId="35" borderId="21" xfId="0" applyNumberFormat="1" applyFont="1" applyFill="1" applyBorder="1" applyAlignment="1">
      <alignment/>
    </xf>
    <xf numFmtId="3" fontId="16" fillId="35" borderId="22" xfId="0" applyNumberFormat="1" applyFont="1" applyFill="1" applyBorder="1" applyAlignment="1">
      <alignment/>
    </xf>
    <xf numFmtId="0" fontId="53" fillId="0" borderId="11" xfId="0" applyFont="1" applyFill="1" applyBorder="1" applyAlignment="1">
      <alignment/>
    </xf>
    <xf numFmtId="0" fontId="16" fillId="0" borderId="10" xfId="0" applyFont="1" applyFill="1" applyBorder="1" applyAlignment="1">
      <alignment/>
    </xf>
    <xf numFmtId="2" fontId="4" fillId="4" borderId="15" xfId="0" applyNumberFormat="1" applyFont="1" applyFill="1" applyBorder="1" applyAlignment="1">
      <alignment/>
    </xf>
    <xf numFmtId="39" fontId="0" fillId="0" borderId="0" xfId="81" applyNumberFormat="1" applyFont="1" applyBorder="1" applyAlignment="1" applyProtection="1">
      <alignment/>
      <protection locked="0"/>
    </xf>
    <xf numFmtId="39" fontId="0" fillId="0" borderId="18" xfId="81" applyNumberFormat="1" applyFont="1" applyBorder="1" applyAlignment="1" applyProtection="1">
      <alignment/>
      <protection locked="0"/>
    </xf>
    <xf numFmtId="39" fontId="7" fillId="0" borderId="10" xfId="81" applyNumberFormat="1" applyFont="1" applyFill="1" applyBorder="1" applyAlignment="1">
      <alignment horizontal="center"/>
      <protection/>
    </xf>
    <xf numFmtId="3" fontId="4" fillId="11" borderId="13" xfId="0" applyNumberFormat="1" applyFont="1" applyFill="1" applyBorder="1" applyAlignment="1" applyProtection="1">
      <alignment/>
      <protection locked="0"/>
    </xf>
    <xf numFmtId="43" fontId="4" fillId="35" borderId="13" xfId="59" applyFont="1" applyFill="1" applyBorder="1" applyAlignment="1" applyProtection="1">
      <alignment/>
      <protection locked="0"/>
    </xf>
    <xf numFmtId="3" fontId="4" fillId="35" borderId="13" xfId="0" applyNumberFormat="1" applyFont="1" applyFill="1" applyBorder="1" applyAlignment="1" applyProtection="1">
      <alignment/>
      <protection locked="0"/>
    </xf>
    <xf numFmtId="3" fontId="4" fillId="11" borderId="20" xfId="0" applyNumberFormat="1" applyFont="1" applyFill="1" applyBorder="1" applyAlignment="1" applyProtection="1">
      <alignment/>
      <protection locked="0"/>
    </xf>
    <xf numFmtId="0" fontId="4" fillId="0" borderId="13" xfId="0" applyFont="1" applyFill="1" applyBorder="1" applyAlignment="1">
      <alignment/>
    </xf>
    <xf numFmtId="2" fontId="4" fillId="35" borderId="13" xfId="0" applyNumberFormat="1" applyFont="1" applyFill="1" applyBorder="1" applyAlignment="1" applyProtection="1">
      <alignment/>
      <protection locked="0"/>
    </xf>
    <xf numFmtId="3" fontId="4" fillId="35" borderId="15" xfId="0" applyNumberFormat="1" applyFont="1" applyFill="1" applyBorder="1" applyAlignment="1" applyProtection="1">
      <alignment/>
      <protection locked="0"/>
    </xf>
    <xf numFmtId="43" fontId="4" fillId="35" borderId="20" xfId="59" applyFont="1" applyFill="1" applyBorder="1" applyAlignment="1" applyProtection="1">
      <alignment/>
      <protection locked="0"/>
    </xf>
    <xf numFmtId="3" fontId="4" fillId="35" borderId="20" xfId="0" applyNumberFormat="1" applyFont="1" applyFill="1" applyBorder="1" applyAlignment="1" applyProtection="1">
      <alignment/>
      <protection locked="0"/>
    </xf>
    <xf numFmtId="39" fontId="0" fillId="0" borderId="23" xfId="81" applyNumberFormat="1" applyFont="1" applyBorder="1" applyAlignment="1" applyProtection="1">
      <alignment/>
      <protection locked="0"/>
    </xf>
    <xf numFmtId="3" fontId="4" fillId="35" borderId="23" xfId="0" applyNumberFormat="1" applyFont="1" applyFill="1" applyBorder="1" applyAlignment="1" applyProtection="1">
      <alignment/>
      <protection locked="0"/>
    </xf>
    <xf numFmtId="39" fontId="9" fillId="0" borderId="18" xfId="81" applyNumberFormat="1" applyFont="1" applyBorder="1" applyAlignment="1" applyProtection="1">
      <alignment/>
      <protection locked="0"/>
    </xf>
    <xf numFmtId="4" fontId="4" fillId="35" borderId="23" xfId="0" applyNumberFormat="1" applyFont="1" applyFill="1" applyBorder="1" applyAlignment="1" applyProtection="1">
      <alignment/>
      <protection locked="0"/>
    </xf>
    <xf numFmtId="3" fontId="4" fillId="11" borderId="23" xfId="0" applyNumberFormat="1" applyFont="1" applyFill="1" applyBorder="1" applyAlignment="1" applyProtection="1">
      <alignment/>
      <protection locked="0"/>
    </xf>
    <xf numFmtId="4" fontId="4" fillId="24" borderId="23" xfId="0" applyNumberFormat="1" applyFont="1" applyFill="1" applyBorder="1" applyAlignment="1" applyProtection="1">
      <alignment/>
      <protection locked="0"/>
    </xf>
    <xf numFmtId="43" fontId="4" fillId="11" borderId="20" xfId="59" applyFont="1" applyFill="1" applyBorder="1" applyAlignment="1" applyProtection="1">
      <alignment/>
      <protection locked="0"/>
    </xf>
    <xf numFmtId="3" fontId="4" fillId="8" borderId="23" xfId="0" applyNumberFormat="1" applyFont="1" applyFill="1" applyBorder="1" applyAlignment="1" applyProtection="1">
      <alignment/>
      <protection locked="0"/>
    </xf>
    <xf numFmtId="43" fontId="4" fillId="8" borderId="20" xfId="59" applyFont="1" applyFill="1" applyBorder="1" applyAlignment="1" applyProtection="1">
      <alignment/>
      <protection locked="0"/>
    </xf>
    <xf numFmtId="3" fontId="4" fillId="27" borderId="23" xfId="0" applyNumberFormat="1" applyFont="1" applyFill="1" applyBorder="1" applyAlignment="1" applyProtection="1">
      <alignment/>
      <protection locked="0"/>
    </xf>
    <xf numFmtId="43" fontId="4" fillId="27" borderId="20" xfId="59" applyFont="1" applyFill="1" applyBorder="1" applyAlignment="1" applyProtection="1">
      <alignment/>
      <protection locked="0"/>
    </xf>
    <xf numFmtId="0" fontId="4" fillId="24" borderId="11" xfId="0" applyFont="1" applyFill="1" applyBorder="1" applyAlignment="1">
      <alignment/>
    </xf>
    <xf numFmtId="3" fontId="4" fillId="0" borderId="16" xfId="0" applyNumberFormat="1" applyFont="1" applyFill="1" applyBorder="1" applyAlignment="1" applyProtection="1">
      <alignment/>
      <protection locked="0"/>
    </xf>
    <xf numFmtId="3" fontId="4" fillId="4" borderId="23" xfId="0" applyNumberFormat="1" applyFont="1" applyFill="1" applyBorder="1" applyAlignment="1" applyProtection="1">
      <alignment/>
      <protection locked="0"/>
    </xf>
    <xf numFmtId="2" fontId="4" fillId="0" borderId="0" xfId="0" applyNumberFormat="1" applyFont="1" applyFill="1" applyBorder="1" applyAlignment="1" applyProtection="1">
      <alignment/>
      <protection locked="0"/>
    </xf>
    <xf numFmtId="43" fontId="4" fillId="4" borderId="20" xfId="59" applyFont="1" applyFill="1" applyBorder="1" applyAlignment="1" applyProtection="1">
      <alignment/>
      <protection locked="0"/>
    </xf>
    <xf numFmtId="0" fontId="4" fillId="24" borderId="21" xfId="0" applyFont="1" applyFill="1" applyBorder="1" applyAlignment="1">
      <alignment/>
    </xf>
    <xf numFmtId="0" fontId="4" fillId="24" borderId="19" xfId="0" applyFont="1" applyFill="1" applyBorder="1" applyAlignment="1">
      <alignment/>
    </xf>
    <xf numFmtId="3" fontId="4" fillId="22" borderId="22" xfId="0" applyNumberFormat="1" applyFont="1" applyFill="1" applyBorder="1" applyAlignment="1" applyProtection="1">
      <alignment/>
      <protection locked="0"/>
    </xf>
    <xf numFmtId="0" fontId="39" fillId="0" borderId="16" xfId="0" applyFont="1" applyBorder="1" applyAlignment="1">
      <alignment/>
    </xf>
    <xf numFmtId="0" fontId="39" fillId="0" borderId="12" xfId="0" applyFont="1" applyBorder="1" applyAlignment="1">
      <alignment/>
    </xf>
    <xf numFmtId="0" fontId="4" fillId="24" borderId="10" xfId="0" applyFont="1" applyFill="1" applyBorder="1" applyAlignment="1">
      <alignment/>
    </xf>
    <xf numFmtId="2" fontId="4" fillId="0" borderId="10" xfId="0" applyNumberFormat="1" applyFont="1" applyFill="1" applyBorder="1" applyAlignment="1" applyProtection="1">
      <alignment/>
      <protection locked="0"/>
    </xf>
    <xf numFmtId="0" fontId="4" fillId="24" borderId="22" xfId="0" applyFont="1" applyFill="1" applyBorder="1" applyAlignment="1">
      <alignment/>
    </xf>
    <xf numFmtId="3" fontId="4" fillId="22" borderId="24" xfId="0" applyNumberFormat="1" applyFont="1" applyFill="1" applyBorder="1" applyAlignment="1" applyProtection="1">
      <alignment/>
      <protection locked="0"/>
    </xf>
    <xf numFmtId="43" fontId="4" fillId="22" borderId="20" xfId="59" applyFont="1" applyFill="1" applyBorder="1" applyAlignment="1" applyProtection="1">
      <alignment/>
      <protection locked="0"/>
    </xf>
    <xf numFmtId="2" fontId="4" fillId="0" borderId="16" xfId="0" applyNumberFormat="1" applyFont="1" applyFill="1" applyBorder="1" applyAlignment="1" applyProtection="1">
      <alignment/>
      <protection locked="0"/>
    </xf>
    <xf numFmtId="2" fontId="4" fillId="22" borderId="22" xfId="0" applyNumberFormat="1" applyFont="1" applyFill="1" applyBorder="1" applyAlignment="1">
      <alignment/>
    </xf>
    <xf numFmtId="3" fontId="4" fillId="22" borderId="24" xfId="0" applyNumberFormat="1" applyFont="1" applyFill="1" applyBorder="1" applyAlignment="1">
      <alignment/>
    </xf>
    <xf numFmtId="0" fontId="4" fillId="22" borderId="24" xfId="0" applyFont="1" applyFill="1" applyBorder="1" applyAlignment="1" applyProtection="1">
      <alignment/>
      <protection locked="0"/>
    </xf>
    <xf numFmtId="0" fontId="4" fillId="0" borderId="0" xfId="0" applyFont="1" applyFill="1" applyBorder="1" applyAlignment="1" applyProtection="1">
      <alignment/>
      <protection locked="0"/>
    </xf>
    <xf numFmtId="2" fontId="39" fillId="0" borderId="0" xfId="0" applyNumberFormat="1" applyFont="1" applyFill="1" applyBorder="1" applyAlignment="1">
      <alignment/>
    </xf>
    <xf numFmtId="3" fontId="39" fillId="0" borderId="0" xfId="0" applyNumberFormat="1" applyFont="1" applyFill="1" applyBorder="1" applyAlignment="1">
      <alignment/>
    </xf>
    <xf numFmtId="0" fontId="39" fillId="0" borderId="17" xfId="0" applyFont="1" applyBorder="1" applyAlignment="1">
      <alignment/>
    </xf>
    <xf numFmtId="2" fontId="4" fillId="22" borderId="13" xfId="0" applyNumberFormat="1" applyFont="1" applyFill="1" applyBorder="1" applyAlignment="1" applyProtection="1">
      <alignment/>
      <protection locked="0"/>
    </xf>
    <xf numFmtId="3" fontId="4" fillId="22" borderId="13" xfId="0" applyNumberFormat="1" applyFont="1" applyFill="1" applyBorder="1" applyAlignment="1" applyProtection="1">
      <alignment/>
      <protection locked="0"/>
    </xf>
    <xf numFmtId="3" fontId="4" fillId="4" borderId="13" xfId="0" applyNumberFormat="1" applyFont="1" applyFill="1" applyBorder="1" applyAlignment="1" applyProtection="1">
      <alignment/>
      <protection locked="0"/>
    </xf>
    <xf numFmtId="2" fontId="4" fillId="35" borderId="18" xfId="0" applyNumberFormat="1" applyFont="1" applyFill="1" applyBorder="1" applyAlignment="1" applyProtection="1">
      <alignment/>
      <protection locked="0"/>
    </xf>
    <xf numFmtId="2" fontId="4" fillId="11" borderId="18" xfId="0" applyNumberFormat="1" applyFont="1" applyFill="1" applyBorder="1" applyAlignment="1" applyProtection="1">
      <alignment/>
      <protection locked="0"/>
    </xf>
    <xf numFmtId="2" fontId="4" fillId="8" borderId="18" xfId="0" applyNumberFormat="1" applyFont="1" applyFill="1" applyBorder="1" applyAlignment="1" applyProtection="1">
      <alignment/>
      <protection locked="0"/>
    </xf>
    <xf numFmtId="2" fontId="4" fillId="27" borderId="18" xfId="0" applyNumberFormat="1" applyFont="1" applyFill="1" applyBorder="1" applyAlignment="1" applyProtection="1">
      <alignment/>
      <protection locked="0"/>
    </xf>
    <xf numFmtId="0" fontId="39" fillId="0" borderId="21" xfId="0" applyFont="1" applyBorder="1" applyAlignment="1">
      <alignment/>
    </xf>
    <xf numFmtId="0" fontId="4" fillId="0" borderId="22" xfId="0" applyFont="1" applyFill="1" applyBorder="1" applyAlignment="1">
      <alignment/>
    </xf>
    <xf numFmtId="0" fontId="4" fillId="35" borderId="22" xfId="0" applyFont="1" applyFill="1" applyBorder="1" applyAlignment="1" applyProtection="1">
      <alignment/>
      <protection locked="0"/>
    </xf>
    <xf numFmtId="3" fontId="4" fillId="35" borderId="22" xfId="0" applyNumberFormat="1" applyFont="1" applyFill="1" applyBorder="1" applyAlignment="1" applyProtection="1">
      <alignment/>
      <protection locked="0"/>
    </xf>
    <xf numFmtId="2" fontId="4" fillId="4" borderId="18" xfId="0" applyNumberFormat="1" applyFont="1" applyFill="1" applyBorder="1" applyAlignment="1" applyProtection="1">
      <alignment/>
      <protection locked="0"/>
    </xf>
    <xf numFmtId="0" fontId="0" fillId="0" borderId="21" xfId="0" applyFont="1" applyFill="1" applyBorder="1" applyAlignment="1">
      <alignment/>
    </xf>
    <xf numFmtId="0" fontId="39" fillId="0" borderId="19" xfId="0" applyFont="1" applyFill="1" applyBorder="1" applyAlignment="1">
      <alignment/>
    </xf>
    <xf numFmtId="3" fontId="39" fillId="0" borderId="12" xfId="0" applyNumberFormat="1" applyFont="1" applyFill="1" applyBorder="1" applyAlignment="1">
      <alignment/>
    </xf>
    <xf numFmtId="2" fontId="4" fillId="22" borderId="21" xfId="0" applyNumberFormat="1" applyFont="1" applyFill="1" applyBorder="1" applyAlignment="1" applyProtection="1">
      <alignment/>
      <protection locked="0"/>
    </xf>
    <xf numFmtId="0" fontId="4" fillId="0" borderId="10" xfId="0" applyFont="1" applyFill="1" applyBorder="1" applyAlignment="1">
      <alignment/>
    </xf>
    <xf numFmtId="2" fontId="4" fillId="22" borderId="24" xfId="0" applyNumberFormat="1" applyFont="1" applyFill="1" applyBorder="1" applyAlignment="1">
      <alignment/>
    </xf>
    <xf numFmtId="0" fontId="4" fillId="4" borderId="23" xfId="0" applyFont="1" applyFill="1" applyBorder="1" applyAlignment="1" applyProtection="1">
      <alignment/>
      <protection locked="0"/>
    </xf>
    <xf numFmtId="0" fontId="0" fillId="0" borderId="21" xfId="82" applyFont="1" applyFill="1" applyBorder="1" applyAlignment="1" applyProtection="1">
      <alignment horizontal="left"/>
      <protection locked="0"/>
    </xf>
    <xf numFmtId="3" fontId="39" fillId="0" borderId="12" xfId="0" applyNumberFormat="1" applyFont="1" applyBorder="1" applyAlignment="1">
      <alignment/>
    </xf>
    <xf numFmtId="3" fontId="39" fillId="0" borderId="11" xfId="0" applyNumberFormat="1" applyFont="1" applyFill="1" applyBorder="1" applyAlignment="1">
      <alignment/>
    </xf>
    <xf numFmtId="39" fontId="7" fillId="24" borderId="11" xfId="81" applyNumberFormat="1" applyFont="1" applyFill="1" applyBorder="1" applyAlignment="1">
      <alignment horizontal="left"/>
      <protection/>
    </xf>
    <xf numFmtId="39" fontId="7" fillId="24" borderId="17" xfId="81" applyNumberFormat="1" applyFont="1" applyFill="1" applyBorder="1" applyAlignment="1">
      <alignment horizontal="left"/>
      <protection/>
    </xf>
    <xf numFmtId="0" fontId="9" fillId="24" borderId="0" xfId="0" applyFont="1" applyFill="1" applyAlignment="1">
      <alignment/>
    </xf>
    <xf numFmtId="41" fontId="0" fillId="0" borderId="0" xfId="0" applyNumberFormat="1" applyFill="1" applyAlignment="1">
      <alignment/>
    </xf>
    <xf numFmtId="41" fontId="16" fillId="27" borderId="0" xfId="0" applyNumberFormat="1" applyFont="1" applyFill="1" applyAlignment="1">
      <alignment/>
    </xf>
    <xf numFmtId="0" fontId="0" fillId="4" borderId="16" xfId="79" applyFont="1" applyFill="1" applyBorder="1">
      <alignment/>
      <protection/>
    </xf>
    <xf numFmtId="0" fontId="0" fillId="24" borderId="0" xfId="79" applyFont="1" applyFill="1" applyBorder="1">
      <alignment/>
      <protection/>
    </xf>
    <xf numFmtId="0" fontId="0" fillId="22" borderId="16" xfId="79" applyFont="1" applyFill="1" applyBorder="1">
      <alignment/>
      <protection/>
    </xf>
    <xf numFmtId="0" fontId="0" fillId="7" borderId="16" xfId="79" applyFont="1" applyFill="1" applyBorder="1">
      <alignment/>
      <protection/>
    </xf>
    <xf numFmtId="0" fontId="0" fillId="27" borderId="16" xfId="79" applyFont="1" applyFill="1" applyBorder="1">
      <alignment/>
      <protection/>
    </xf>
    <xf numFmtId="0" fontId="10" fillId="0" borderId="18" xfId="0" applyFont="1" applyFill="1" applyBorder="1" applyAlignment="1">
      <alignment/>
    </xf>
    <xf numFmtId="39" fontId="0" fillId="0" borderId="15" xfId="81" applyNumberFormat="1" applyFont="1" applyFill="1" applyBorder="1" applyAlignment="1" applyProtection="1">
      <alignment/>
      <protection locked="0"/>
    </xf>
    <xf numFmtId="39" fontId="0" fillId="0" borderId="23" xfId="81" applyNumberFormat="1" applyFont="1" applyFill="1" applyBorder="1" applyAlignment="1" applyProtection="1">
      <alignment/>
      <protection locked="0"/>
    </xf>
    <xf numFmtId="0" fontId="39" fillId="4" borderId="0" xfId="0" applyFont="1" applyFill="1" applyBorder="1" applyAlignment="1">
      <alignment horizontal="left"/>
    </xf>
    <xf numFmtId="41" fontId="16" fillId="7" borderId="0" xfId="0" applyNumberFormat="1" applyFont="1" applyFill="1" applyAlignment="1">
      <alignment/>
    </xf>
    <xf numFmtId="41" fontId="4" fillId="7" borderId="0" xfId="0" applyNumberFormat="1" applyFont="1" applyFill="1" applyAlignment="1">
      <alignment/>
    </xf>
    <xf numFmtId="0" fontId="42" fillId="25" borderId="10" xfId="0" applyFont="1" applyFill="1" applyBorder="1" applyAlignment="1">
      <alignment/>
    </xf>
    <xf numFmtId="0" fontId="39" fillId="25" borderId="10" xfId="0" applyFont="1" applyFill="1" applyBorder="1" applyAlignment="1">
      <alignment/>
    </xf>
    <xf numFmtId="0" fontId="11" fillId="25" borderId="10" xfId="0" applyFill="1" applyBorder="1" applyAlignment="1">
      <alignment/>
    </xf>
    <xf numFmtId="0" fontId="42" fillId="24" borderId="0" xfId="0" applyFont="1" applyFill="1" applyAlignment="1">
      <alignment/>
    </xf>
    <xf numFmtId="39" fontId="3" fillId="0" borderId="0" xfId="81" applyNumberFormat="1" applyFont="1" applyFill="1" applyBorder="1" applyAlignment="1">
      <alignment/>
      <protection/>
    </xf>
    <xf numFmtId="0" fontId="11" fillId="0" borderId="0" xfId="0" applyFont="1" applyAlignment="1">
      <alignment/>
    </xf>
    <xf numFmtId="0" fontId="3" fillId="0" borderId="10" xfId="0" applyFont="1" applyFill="1" applyBorder="1" applyAlignment="1">
      <alignment horizontal="center" textRotation="90"/>
    </xf>
    <xf numFmtId="0" fontId="0" fillId="25" borderId="10" xfId="0" applyFill="1" applyBorder="1" applyAlignment="1">
      <alignment/>
    </xf>
    <xf numFmtId="0" fontId="3" fillId="25" borderId="10" xfId="0" applyFont="1" applyFill="1" applyBorder="1" applyAlignment="1">
      <alignment/>
    </xf>
    <xf numFmtId="0" fontId="3" fillId="0" borderId="17" xfId="0" applyFont="1" applyFill="1" applyBorder="1" applyAlignment="1">
      <alignment/>
    </xf>
    <xf numFmtId="0" fontId="39" fillId="0" borderId="14" xfId="0" applyFont="1" applyFill="1" applyBorder="1" applyAlignment="1">
      <alignment/>
    </xf>
    <xf numFmtId="0" fontId="39" fillId="0" borderId="13" xfId="0" applyFont="1" applyFill="1" applyBorder="1" applyAlignment="1">
      <alignment/>
    </xf>
    <xf numFmtId="0" fontId="0" fillId="0" borderId="18" xfId="0" applyFont="1" applyBorder="1" applyAlignment="1">
      <alignment/>
    </xf>
    <xf numFmtId="41" fontId="8" fillId="0" borderId="18" xfId="81" applyNumberFormat="1" applyFont="1" applyFill="1" applyBorder="1" applyAlignment="1" applyProtection="1">
      <alignment/>
      <protection/>
    </xf>
    <xf numFmtId="41" fontId="18" fillId="0" borderId="18" xfId="81" applyNumberFormat="1" applyFont="1" applyFill="1" applyBorder="1" applyAlignment="1" applyProtection="1">
      <alignment/>
      <protection/>
    </xf>
    <xf numFmtId="0" fontId="0" fillId="0" borderId="22"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18"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19" xfId="0" applyFont="1" applyBorder="1" applyAlignment="1">
      <alignment/>
    </xf>
    <xf numFmtId="3" fontId="0" fillId="0" borderId="0" xfId="0" applyNumberFormat="1" applyFont="1" applyAlignment="1">
      <alignment/>
    </xf>
    <xf numFmtId="0" fontId="0" fillId="0" borderId="14" xfId="0" applyFont="1" applyBorder="1" applyAlignment="1">
      <alignment/>
    </xf>
    <xf numFmtId="0" fontId="0" fillId="0" borderId="13" xfId="0" applyFont="1" applyBorder="1" applyAlignment="1">
      <alignment/>
    </xf>
    <xf numFmtId="39" fontId="3" fillId="0" borderId="18" xfId="81" applyNumberFormat="1" applyFont="1" applyFill="1" applyBorder="1" applyAlignment="1">
      <alignment horizontal="left"/>
      <protection/>
    </xf>
    <xf numFmtId="3" fontId="0" fillId="27" borderId="20" xfId="0" applyNumberFormat="1" applyFont="1" applyFill="1" applyBorder="1" applyAlignment="1">
      <alignment/>
    </xf>
    <xf numFmtId="3" fontId="0" fillId="0" borderId="20" xfId="0" applyNumberFormat="1" applyFont="1" applyBorder="1" applyAlignment="1">
      <alignment/>
    </xf>
    <xf numFmtId="0" fontId="0" fillId="0" borderId="18" xfId="0"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0" borderId="18" xfId="0" applyNumberFormat="1" applyFont="1" applyBorder="1" applyAlignment="1">
      <alignment/>
    </xf>
    <xf numFmtId="3" fontId="0" fillId="0" borderId="0" xfId="0" applyNumberFormat="1" applyFont="1" applyBorder="1" applyAlignment="1">
      <alignment/>
    </xf>
    <xf numFmtId="3" fontId="0" fillId="0" borderId="18"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4" fillId="4" borderId="15" xfId="0" applyNumberFormat="1" applyFont="1" applyFill="1" applyBorder="1" applyAlignment="1">
      <alignment/>
    </xf>
    <xf numFmtId="3" fontId="4" fillId="4" borderId="24" xfId="0" applyNumberFormat="1" applyFont="1" applyFill="1" applyBorder="1" applyAlignment="1">
      <alignment/>
    </xf>
    <xf numFmtId="186" fontId="4" fillId="4" borderId="15" xfId="59" applyNumberFormat="1" applyFont="1" applyFill="1" applyBorder="1" applyAlignment="1">
      <alignment/>
    </xf>
    <xf numFmtId="186" fontId="0" fillId="0" borderId="20" xfId="59" applyNumberFormat="1" applyFont="1" applyBorder="1" applyAlignment="1">
      <alignment/>
    </xf>
    <xf numFmtId="186" fontId="4" fillId="27" borderId="20" xfId="59" applyNumberFormat="1" applyFont="1" applyFill="1" applyBorder="1" applyAlignment="1">
      <alignment/>
    </xf>
    <xf numFmtId="186" fontId="4" fillId="0" borderId="20" xfId="59" applyNumberFormat="1" applyFont="1" applyFill="1" applyBorder="1" applyAlignment="1">
      <alignment/>
    </xf>
    <xf numFmtId="186" fontId="0" fillId="0" borderId="22" xfId="59" applyNumberFormat="1" applyFont="1" applyBorder="1" applyAlignment="1">
      <alignment/>
    </xf>
    <xf numFmtId="186" fontId="4" fillId="27" borderId="22" xfId="59" applyNumberFormat="1" applyFont="1" applyFill="1" applyBorder="1" applyAlignment="1">
      <alignment/>
    </xf>
    <xf numFmtId="41" fontId="0" fillId="0" borderId="0" xfId="0" applyNumberFormat="1" applyAlignment="1">
      <alignment/>
    </xf>
    <xf numFmtId="0" fontId="39" fillId="24" borderId="0" xfId="79" applyFont="1" applyFill="1" applyBorder="1">
      <alignment/>
      <protection/>
    </xf>
    <xf numFmtId="0" fontId="0" fillId="0" borderId="0" xfId="79" applyFont="1" applyFill="1" applyBorder="1">
      <alignment/>
      <protection/>
    </xf>
    <xf numFmtId="0" fontId="55" fillId="20" borderId="10" xfId="0" applyFont="1" applyFill="1" applyBorder="1" applyAlignment="1">
      <alignment/>
    </xf>
    <xf numFmtId="0" fontId="0" fillId="20" borderId="10" xfId="0" applyFill="1" applyBorder="1" applyAlignment="1">
      <alignment/>
    </xf>
    <xf numFmtId="0" fontId="0" fillId="0" borderId="0" xfId="0" applyAlignment="1">
      <alignment/>
    </xf>
    <xf numFmtId="0" fontId="0" fillId="0" borderId="0" xfId="0" applyAlignment="1">
      <alignment wrapText="1"/>
    </xf>
    <xf numFmtId="0" fontId="0" fillId="3" borderId="16" xfId="79" applyFont="1" applyFill="1" applyBorder="1">
      <alignment/>
      <protection/>
    </xf>
    <xf numFmtId="0" fontId="0" fillId="8" borderId="0" xfId="0" applyFill="1" applyAlignment="1">
      <alignment/>
    </xf>
    <xf numFmtId="0" fontId="0" fillId="5" borderId="0" xfId="0" applyFill="1" applyAlignment="1">
      <alignment/>
    </xf>
    <xf numFmtId="0" fontId="0" fillId="20" borderId="0" xfId="0" applyFill="1" applyAlignment="1">
      <alignment/>
    </xf>
    <xf numFmtId="41" fontId="4" fillId="3" borderId="0" xfId="0" applyNumberFormat="1" applyFont="1" applyFill="1" applyBorder="1" applyAlignment="1">
      <alignment/>
    </xf>
    <xf numFmtId="3" fontId="4" fillId="3" borderId="0" xfId="0" applyNumberFormat="1" applyFont="1" applyFill="1" applyAlignment="1">
      <alignment/>
    </xf>
    <xf numFmtId="0" fontId="44" fillId="0" borderId="0" xfId="0" applyFont="1" applyAlignment="1">
      <alignment/>
    </xf>
    <xf numFmtId="0" fontId="18" fillId="0" borderId="0" xfId="80" applyFont="1">
      <alignment/>
      <protection/>
    </xf>
    <xf numFmtId="0" fontId="4" fillId="0" borderId="0" xfId="0" applyFont="1" applyAlignment="1">
      <alignment/>
    </xf>
    <xf numFmtId="191" fontId="4" fillId="27" borderId="0" xfId="59" applyNumberFormat="1" applyFont="1" applyFill="1" applyAlignment="1">
      <alignment/>
    </xf>
    <xf numFmtId="10" fontId="4" fillId="7" borderId="0" xfId="75" applyNumberFormat="1" applyFont="1" applyFill="1" applyAlignment="1">
      <alignment/>
    </xf>
    <xf numFmtId="186" fontId="4" fillId="7" borderId="0" xfId="59" applyNumberFormat="1" applyFont="1" applyFill="1" applyAlignment="1">
      <alignment/>
    </xf>
    <xf numFmtId="186" fontId="0" fillId="0" borderId="0" xfId="59" applyNumberFormat="1" applyFill="1" applyAlignment="1">
      <alignment/>
    </xf>
    <xf numFmtId="175" fontId="5" fillId="3" borderId="10" xfId="0" applyNumberFormat="1" applyFont="1" applyFill="1" applyBorder="1" applyAlignment="1">
      <alignment/>
    </xf>
    <xf numFmtId="0" fontId="55" fillId="20" borderId="10" xfId="78" applyFont="1" applyFill="1" applyBorder="1">
      <alignment/>
      <protection/>
    </xf>
    <xf numFmtId="0" fontId="3" fillId="25" borderId="10" xfId="78" applyFont="1" applyFill="1" applyBorder="1">
      <alignment/>
      <protection/>
    </xf>
    <xf numFmtId="0" fontId="3" fillId="0" borderId="0" xfId="78" applyFont="1">
      <alignment/>
      <protection/>
    </xf>
    <xf numFmtId="0" fontId="0" fillId="20" borderId="10" xfId="78" applyFont="1" applyFill="1" applyBorder="1">
      <alignment/>
      <protection/>
    </xf>
    <xf numFmtId="0" fontId="0" fillId="0" borderId="0" xfId="78" applyFont="1">
      <alignment/>
      <protection/>
    </xf>
    <xf numFmtId="0" fontId="0" fillId="25" borderId="10" xfId="78" applyFont="1" applyFill="1" applyBorder="1">
      <alignment/>
      <protection/>
    </xf>
    <xf numFmtId="0" fontId="39" fillId="25" borderId="0" xfId="0" applyFont="1" applyFill="1" applyAlignment="1">
      <alignment/>
    </xf>
    <xf numFmtId="0" fontId="9" fillId="0" borderId="0" xfId="78" applyFont="1">
      <alignment/>
      <protection/>
    </xf>
    <xf numFmtId="0" fontId="39" fillId="0" borderId="0" xfId="0" applyFont="1" applyAlignment="1">
      <alignment horizontal="left"/>
    </xf>
    <xf numFmtId="186" fontId="0" fillId="4" borderId="0" xfId="59" applyNumberFormat="1" applyFont="1" applyFill="1" applyAlignment="1">
      <alignment/>
    </xf>
    <xf numFmtId="186" fontId="39" fillId="27" borderId="0" xfId="0" applyNumberFormat="1" applyFont="1" applyFill="1" applyAlignment="1">
      <alignment/>
    </xf>
    <xf numFmtId="186" fontId="0" fillId="0" borderId="0" xfId="59" applyNumberFormat="1" applyFont="1" applyFill="1" applyAlignment="1">
      <alignment/>
    </xf>
    <xf numFmtId="186" fontId="39" fillId="4" borderId="0" xfId="0" applyNumberFormat="1" applyFont="1" applyFill="1" applyAlignment="1">
      <alignment/>
    </xf>
    <xf numFmtId="9" fontId="0" fillId="4" borderId="0" xfId="78" applyNumberFormat="1" applyFont="1" applyFill="1">
      <alignment/>
      <protection/>
    </xf>
    <xf numFmtId="186" fontId="0" fillId="22" borderId="0" xfId="59" applyNumberFormat="1" applyFont="1" applyFill="1" applyAlignment="1">
      <alignment/>
    </xf>
    <xf numFmtId="186" fontId="0" fillId="3" borderId="0" xfId="59" applyNumberFormat="1" applyFont="1" applyFill="1" applyAlignment="1">
      <alignment/>
    </xf>
    <xf numFmtId="0" fontId="0" fillId="0" borderId="0" xfId="78" applyFont="1" applyFill="1">
      <alignment/>
      <protection/>
    </xf>
    <xf numFmtId="0" fontId="0" fillId="0" borderId="0" xfId="0" applyFont="1" applyFill="1" applyAlignment="1">
      <alignment/>
    </xf>
    <xf numFmtId="0" fontId="0" fillId="0" borderId="0" xfId="78" applyFont="1" applyFill="1">
      <alignment/>
      <protection/>
    </xf>
    <xf numFmtId="0" fontId="0" fillId="3" borderId="0" xfId="0" applyFill="1" applyAlignment="1">
      <alignment/>
    </xf>
    <xf numFmtId="186" fontId="39" fillId="22" borderId="0" xfId="0" applyNumberFormat="1" applyFont="1" applyFill="1" applyAlignment="1">
      <alignment/>
    </xf>
    <xf numFmtId="178" fontId="0" fillId="4" borderId="0" xfId="75" applyNumberFormat="1" applyFont="1" applyFill="1" applyAlignment="1">
      <alignment/>
    </xf>
    <xf numFmtId="0" fontId="18" fillId="0" borderId="0" xfId="0" applyFont="1" applyAlignment="1">
      <alignment/>
    </xf>
    <xf numFmtId="0" fontId="51" fillId="0" borderId="0" xfId="0" applyFont="1" applyAlignment="1">
      <alignment/>
    </xf>
    <xf numFmtId="0" fontId="51" fillId="0" borderId="0" xfId="0" applyFont="1" applyAlignment="1">
      <alignment/>
    </xf>
    <xf numFmtId="9" fontId="0" fillId="4" borderId="0" xfId="75" applyNumberFormat="1" applyFont="1" applyFill="1" applyAlignment="1">
      <alignment/>
    </xf>
    <xf numFmtId="178" fontId="11" fillId="24" borderId="0" xfId="75" applyNumberFormat="1" applyFill="1" applyAlignment="1">
      <alignment/>
    </xf>
  </cellXfs>
  <cellStyles count="79">
    <cellStyle name="Normal" xfId="0"/>
    <cellStyle name="&#13;&#10;JournalTemplate=C:\COMFO\CTALK\JOURSTD.TPL&#13;&#10;LbStateAddress=3 3 0 251 1 89 2 311&#13;&#10;LbStateJou_100720 berekening x-factoren NG4R v4.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erekening" xfId="41"/>
    <cellStyle name="Calculation" xfId="42"/>
    <cellStyle name="Check Cell" xfId="43"/>
    <cellStyle name="Controlecel" xfId="44"/>
    <cellStyle name="Euro" xfId="45"/>
    <cellStyle name="Explanatory Text" xfId="46"/>
    <cellStyle name="Gekoppelde cel" xfId="47"/>
    <cellStyle name="Followed Hyperlink" xfId="48"/>
    <cellStyle name="Goed" xfId="49"/>
    <cellStyle name="Good" xfId="50"/>
    <cellStyle name="Header" xfId="51"/>
    <cellStyle name="Heading 1" xfId="52"/>
    <cellStyle name="Heading 2" xfId="53"/>
    <cellStyle name="Heading 3" xfId="54"/>
    <cellStyle name="Heading 4" xfId="55"/>
    <cellStyle name="Hyperlink" xfId="56"/>
    <cellStyle name="Input" xfId="57"/>
    <cellStyle name="Invoer" xfId="58"/>
    <cellStyle name="Comma" xfId="59"/>
    <cellStyle name="Comma [0]" xfId="60"/>
    <cellStyle name="Komma_Tarievenmand 2002" xfId="61"/>
    <cellStyle name="Komma_Tarievenmandje - definitief3" xfId="62"/>
    <cellStyle name="Kop 1" xfId="63"/>
    <cellStyle name="Kop 2" xfId="64"/>
    <cellStyle name="Kop 3" xfId="65"/>
    <cellStyle name="Kop 4" xfId="66"/>
    <cellStyle name="Linked Cell" xfId="67"/>
    <cellStyle name="Neutraal" xfId="68"/>
    <cellStyle name="Neutral" xfId="69"/>
    <cellStyle name="Normal_# klanten" xfId="70"/>
    <cellStyle name="Note" xfId="71"/>
    <cellStyle name="Notitie" xfId="72"/>
    <cellStyle name="Ongeldig" xfId="73"/>
    <cellStyle name="Output" xfId="74"/>
    <cellStyle name="Percent" xfId="75"/>
    <cellStyle name="Standaard_100720 berekening x-factoren NG4R v4.2" xfId="76"/>
    <cellStyle name="Standaard_103408_5 NXIS NE-PRD(i)-10-01 versie 2" xfId="77"/>
    <cellStyle name="Standaard_103838 Berekeningen XQRV-besluit Herstel NE4R" xfId="78"/>
    <cellStyle name="Standaard_20100727 Rekenmodel NE5R v1.9" xfId="79"/>
    <cellStyle name="Standaard_20110531 Berekening Correctie-bedrag Meerkosten" xfId="80"/>
    <cellStyle name="Standaard_Tabellen - CIV2" xfId="81"/>
    <cellStyle name="Standaard_Tarievenmand 2002" xfId="82"/>
    <cellStyle name="Titel" xfId="83"/>
    <cellStyle name="Title" xfId="84"/>
    <cellStyle name="Totaal" xfId="85"/>
    <cellStyle name="Total" xfId="86"/>
    <cellStyle name="Uitvoer" xfId="87"/>
    <cellStyle name="Currency" xfId="88"/>
    <cellStyle name="Currency [0]" xfId="89"/>
    <cellStyle name="Verklarende tekst" xfId="90"/>
    <cellStyle name="Waarschuwingstekst" xfId="91"/>
    <cellStyle name="Warning Text" xfId="9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43</xdr:row>
      <xdr:rowOff>47625</xdr:rowOff>
    </xdr:from>
    <xdr:to>
      <xdr:col>2</xdr:col>
      <xdr:colOff>419100</xdr:colOff>
      <xdr:row>45</xdr:row>
      <xdr:rowOff>47625</xdr:rowOff>
    </xdr:to>
    <xdr:pic>
      <xdr:nvPicPr>
        <xdr:cNvPr id="1" name="Doelzoeken"/>
        <xdr:cNvPicPr preferRelativeResize="1">
          <a:picLocks noChangeAspect="1"/>
        </xdr:cNvPicPr>
      </xdr:nvPicPr>
      <xdr:blipFill>
        <a:blip r:embed="rId1"/>
        <a:stretch>
          <a:fillRect/>
        </a:stretch>
      </xdr:blipFill>
      <xdr:spPr>
        <a:xfrm>
          <a:off x="3590925" y="7677150"/>
          <a:ext cx="112395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07%20DN\103221%20NE5R%20(vanaf%202011)\13%20Data%20en%20berekeningen\NG4R\Rekenmodel\100726%20berekening%20x-factoren%20NG4R%20v4.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nergiekamer.nl/DTe\ALGEMEEN\X-en%20NE%20Reparatie\030523%20Concept%20definitief%20model\030523%20Model%20Definitief%20besluit\Basismodel%20CB%20NE\CB%20met%20activawaarde%20dte\Kopie%20van%20030205%20X_CB%20NE%20DEA%20Model%20CB%20met%20activawaarde%20d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iekamer.nl/erik\infoverzoek\CBB\E%20deal%20definitief%2011-1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nergiekamer.nl/DTE\ALGEMEEN\Tarieven\Tarieven%202002%20netbeheerders\AuditMod%20I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energiekamer.nl/DTe\ALGEMEEN\Tarieven%202003\Elektriciteit%20nettarieven\Output%20definitief\021015%20TM%20NE%202003%20Definitief%20UIT%20(3)\DELT%20TM%20NE%202003%2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energiekamer.nl/05%20Regulering\Tarieven%202005\6.%20Proces%20Gas\CODATA\040616%201%20BF%20NG-TA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shington\nma_afd\DTE\ALGEMEEN\Tarieven%202001\1.%20Tarievenmandjes%20uitgestuurd\Tarievenmand%20-%20TZH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07%20DN\103221%20NE5R%20(vanaf%202011)\13%20Data%20en%20berekeningen\NE5R\wijziging%20x-factorbesluit%20november%202010\Rekenmodel\Externe%20versie\103221%20101125%20Rekenmodel%20x-factor%20en%20RV%20NE5R%20EXTER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elichting"/>
      <sheetName val="x-factor"/>
      <sheetName val="Eindinkomsten"/>
      <sheetName val="Productiviteit TD"/>
      <sheetName val="Kosten AD"/>
      <sheetName val="Kosten TD"/>
      <sheetName val="Vergoedingen AD"/>
      <sheetName val="Catch-up"/>
      <sheetName val="SO"/>
      <sheetName val="Wegingsfactor TD"/>
      <sheetName val="Wegingsfactor AD"/>
      <sheetName val="Rekenvol"/>
      <sheetName val="Volumes"/>
      <sheetName val="ORV"/>
      <sheetName val="CPI&amp;WACC"/>
      <sheetName val="Legenda"/>
      <sheetName val="Bronnen"/>
      <sheetName val="Review"/>
    </sheetNames>
    <sheetDataSet>
      <sheetData sheetId="14">
        <row r="12">
          <cell r="D12">
            <v>0.055</v>
          </cell>
        </row>
        <row r="14">
          <cell r="D14">
            <v>0.062</v>
          </cell>
        </row>
        <row r="27">
          <cell r="I27">
            <v>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2)"/>
      <sheetName val="constants"/>
      <sheetName val="Data"/>
      <sheetName val="Calc"/>
      <sheetName val="Results"/>
    </sheetNames>
    <sheetDataSet>
      <sheetData sheetId="1">
        <row r="3">
          <cell r="E3">
            <v>0.062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4">
        <row r="13">
          <cell r="D13">
            <v>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tants"/>
      <sheetName val="Data"/>
      <sheetName val="AuditMod"/>
    </sheetNames>
    <sheetDataSet>
      <sheetData sheetId="0">
        <row r="4">
          <cell r="E4">
            <v>0.066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Adresgegevens"/>
      <sheetName val="Toelichting"/>
      <sheetName val="Toegestane Omzet"/>
      <sheetName val="Tariefvoorstel en Controle"/>
    </sheetNames>
    <sheetDataSet>
      <sheetData sheetId="3">
        <row r="1">
          <cell r="M1" t="str">
            <v>DELT</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dresgegevens"/>
      <sheetName val="TAR_Tab 2_Tvoorstel besch af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ZHO"/>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elichting"/>
      <sheetName val="x-factor"/>
      <sheetName val="Eindinkomsten"/>
      <sheetName val="Productiviteit"/>
      <sheetName val="Kosten"/>
      <sheetName val="SO"/>
      <sheetName val="Wegingsfactoren"/>
      <sheetName val="Rekenvolumes"/>
      <sheetName val="Volumes"/>
      <sheetName val="EAV (incl RV)"/>
      <sheetName val="PAV (incl RV)"/>
      <sheetName val="ORV Lokale Heffingen"/>
      <sheetName val="ORV Waterkruisingen"/>
      <sheetName val="Omzetting capaciteitstarief"/>
      <sheetName val="CPI en WACC"/>
    </sheetNames>
    <sheetDataSet>
      <sheetData sheetId="14">
        <row r="17">
          <cell r="D17">
            <v>0.062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2">
    <tabColor indexed="46"/>
  </sheetPr>
  <dimension ref="B2:C55"/>
  <sheetViews>
    <sheetView showGridLines="0" tabSelected="1" workbookViewId="0" topLeftCell="A1">
      <selection activeCell="C14" sqref="C14"/>
    </sheetView>
  </sheetViews>
  <sheetFormatPr defaultColWidth="9.140625" defaultRowHeight="12.75"/>
  <cols>
    <col min="1" max="1" width="4.57421875" style="0" customWidth="1"/>
    <col min="2" max="2" width="99.28125" style="0" customWidth="1"/>
    <col min="3" max="3" width="41.8515625" style="0" customWidth="1"/>
  </cols>
  <sheetData>
    <row r="2" s="650" customFormat="1" ht="32.25" customHeight="1">
      <c r="B2" s="649" t="s">
        <v>582</v>
      </c>
    </row>
    <row r="4" ht="12.75">
      <c r="B4" s="648" t="s">
        <v>575</v>
      </c>
    </row>
    <row r="5" s="101" customFormat="1" ht="12.75">
      <c r="B5" s="683" t="s">
        <v>602</v>
      </c>
    </row>
    <row r="6" ht="12.75">
      <c r="B6" t="s">
        <v>603</v>
      </c>
    </row>
    <row r="7" spans="2:3" ht="12.75">
      <c r="B7" s="651"/>
      <c r="C7" s="652"/>
    </row>
    <row r="9" s="609" customFormat="1" ht="12.75">
      <c r="B9" s="610" t="s">
        <v>53</v>
      </c>
    </row>
    <row r="11" ht="12.75">
      <c r="B11" s="591" t="s">
        <v>514</v>
      </c>
    </row>
    <row r="12" ht="12.75">
      <c r="B12" s="592"/>
    </row>
    <row r="13" ht="12.75">
      <c r="B13" s="593" t="s">
        <v>54</v>
      </c>
    </row>
    <row r="14" ht="12.75">
      <c r="B14" s="592"/>
    </row>
    <row r="15" ht="12.75">
      <c r="B15" s="594" t="s">
        <v>492</v>
      </c>
    </row>
    <row r="16" ht="12.75">
      <c r="B16" s="647"/>
    </row>
    <row r="17" ht="12.75">
      <c r="B17" s="595" t="s">
        <v>23</v>
      </c>
    </row>
    <row r="19" ht="12.75">
      <c r="B19" s="653" t="s">
        <v>515</v>
      </c>
    </row>
    <row r="22" s="609" customFormat="1" ht="12.75">
      <c r="B22" s="610" t="s">
        <v>516</v>
      </c>
    </row>
    <row r="24" ht="12.75">
      <c r="B24" t="s">
        <v>579</v>
      </c>
    </row>
    <row r="25" ht="12.75">
      <c r="B25" t="s">
        <v>557</v>
      </c>
    </row>
    <row r="26" ht="12.75">
      <c r="B26" t="s">
        <v>576</v>
      </c>
    </row>
    <row r="28" ht="12.75">
      <c r="B28" s="654" t="s">
        <v>591</v>
      </c>
    </row>
    <row r="29" ht="12.75">
      <c r="B29" s="655" t="s">
        <v>592</v>
      </c>
    </row>
    <row r="30" ht="12.75">
      <c r="B30" s="656" t="s">
        <v>517</v>
      </c>
    </row>
    <row r="31" ht="12.75">
      <c r="B31" s="686" t="s">
        <v>593</v>
      </c>
    </row>
    <row r="33" ht="12.75">
      <c r="B33" t="s">
        <v>585</v>
      </c>
    </row>
    <row r="35" ht="12.75">
      <c r="B35" s="103" t="s">
        <v>532</v>
      </c>
    </row>
    <row r="36" ht="12.75">
      <c r="B36" s="101" t="s">
        <v>577</v>
      </c>
    </row>
    <row r="37" ht="12.75">
      <c r="B37" s="101" t="s">
        <v>580</v>
      </c>
    </row>
    <row r="39" ht="12.75">
      <c r="B39" s="103" t="s">
        <v>578</v>
      </c>
    </row>
    <row r="40" ht="12.75">
      <c r="B40" s="101" t="s">
        <v>581</v>
      </c>
    </row>
    <row r="41" ht="12.75">
      <c r="B41" s="101" t="s">
        <v>580</v>
      </c>
    </row>
    <row r="42" ht="12.75">
      <c r="B42" s="101"/>
    </row>
    <row r="43" ht="12.75">
      <c r="B43" s="102" t="s">
        <v>584</v>
      </c>
    </row>
    <row r="44" s="101" customFormat="1" ht="12.75">
      <c r="B44" s="101" t="s">
        <v>4</v>
      </c>
    </row>
    <row r="45" s="101" customFormat="1" ht="12.75">
      <c r="B45" s="101" t="s">
        <v>1</v>
      </c>
    </row>
    <row r="46" ht="12.75">
      <c r="B46" s="101" t="s">
        <v>3</v>
      </c>
    </row>
    <row r="47" ht="12.75">
      <c r="B47" s="1" t="s">
        <v>2</v>
      </c>
    </row>
    <row r="48" ht="12.75">
      <c r="B48" s="101" t="s">
        <v>0</v>
      </c>
    </row>
    <row r="49" ht="12.75">
      <c r="B49" s="101"/>
    </row>
    <row r="50" ht="12.75">
      <c r="B50" s="103" t="s">
        <v>533</v>
      </c>
    </row>
    <row r="51" ht="12.75">
      <c r="B51" s="101" t="s">
        <v>534</v>
      </c>
    </row>
    <row r="52" ht="12.75">
      <c r="B52" s="101"/>
    </row>
    <row r="53" ht="12.75">
      <c r="B53" s="102" t="s">
        <v>535</v>
      </c>
    </row>
    <row r="54" ht="12.75">
      <c r="B54" s="101" t="s">
        <v>536</v>
      </c>
    </row>
    <row r="55" ht="12.75">
      <c r="B55" s="684" t="s">
        <v>583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lad9">
    <pageSetUpPr fitToPage="1"/>
  </sheetPr>
  <dimension ref="B2:L285"/>
  <sheetViews>
    <sheetView showGridLines="0" zoomScale="85" zoomScaleNormal="85" workbookViewId="0" topLeftCell="A1">
      <pane xSplit="4" ySplit="2" topLeftCell="E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outlineLevelRow="1"/>
  <cols>
    <col min="1" max="1" width="2.7109375" style="24" customWidth="1"/>
    <col min="2" max="2" width="49.7109375" style="189" customWidth="1"/>
    <col min="3" max="3" width="10.140625" style="189" customWidth="1"/>
    <col min="4" max="4" width="10.28125" style="189" customWidth="1"/>
    <col min="5" max="5" width="11.421875" style="189" bestFit="1" customWidth="1"/>
    <col min="6" max="6" width="11.28125" style="189" bestFit="1" customWidth="1"/>
    <col min="7" max="8" width="12.8515625" style="189" bestFit="1" customWidth="1"/>
    <col min="9" max="9" width="11.28125" style="189" bestFit="1" customWidth="1"/>
    <col min="10" max="12" width="12.8515625" style="189" bestFit="1" customWidth="1"/>
    <col min="13" max="16384" width="9.140625" style="24" customWidth="1"/>
  </cols>
  <sheetData>
    <row r="1" ht="12.75"/>
    <row r="2" spans="2:12" s="2" customFormat="1" ht="66.75">
      <c r="B2" s="3" t="s">
        <v>190</v>
      </c>
      <c r="C2" s="3"/>
      <c r="D2" s="3"/>
      <c r="E2" s="4" t="s">
        <v>139</v>
      </c>
      <c r="F2" s="4" t="s">
        <v>58</v>
      </c>
      <c r="G2" s="4" t="s">
        <v>388</v>
      </c>
      <c r="H2" s="4" t="s">
        <v>141</v>
      </c>
      <c r="I2" s="4" t="s">
        <v>142</v>
      </c>
      <c r="J2" s="4" t="s">
        <v>143</v>
      </c>
      <c r="K2" s="4" t="s">
        <v>140</v>
      </c>
      <c r="L2" s="4" t="s">
        <v>59</v>
      </c>
    </row>
    <row r="3" ht="12.75"/>
    <row r="4" spans="2:4" s="5" customFormat="1" ht="12.75">
      <c r="B4" s="6" t="s">
        <v>393</v>
      </c>
      <c r="C4" s="6"/>
      <c r="D4" s="6"/>
    </row>
    <row r="5" spans="2:4" ht="12.75" outlineLevel="1">
      <c r="B5" s="290" t="s">
        <v>394</v>
      </c>
      <c r="C5" s="188"/>
      <c r="D5" s="188"/>
    </row>
    <row r="6" ht="12.75" outlineLevel="1"/>
    <row r="7" ht="12.75" outlineLevel="1">
      <c r="B7" s="279" t="s">
        <v>504</v>
      </c>
    </row>
    <row r="8" ht="12.75" outlineLevel="1">
      <c r="B8" s="43"/>
    </row>
    <row r="9" spans="2:12" ht="12.75" outlineLevel="1">
      <c r="B9" s="172" t="s">
        <v>198</v>
      </c>
      <c r="C9" s="170"/>
      <c r="D9" s="170"/>
      <c r="E9" s="194"/>
      <c r="F9" s="194"/>
      <c r="G9" s="194"/>
      <c r="H9" s="194"/>
      <c r="I9" s="194"/>
      <c r="J9" s="194"/>
      <c r="K9" s="194"/>
      <c r="L9" s="194"/>
    </row>
    <row r="10" spans="2:12" ht="12.75" outlineLevel="1">
      <c r="B10" s="170" t="s">
        <v>199</v>
      </c>
      <c r="C10" s="170"/>
      <c r="D10" s="170"/>
      <c r="E10" s="116">
        <v>0</v>
      </c>
      <c r="F10" s="116">
        <v>0</v>
      </c>
      <c r="G10" s="116">
        <v>0</v>
      </c>
      <c r="H10" s="116">
        <v>0</v>
      </c>
      <c r="I10" s="116">
        <v>4.8798213085362985</v>
      </c>
      <c r="J10" s="116">
        <v>0</v>
      </c>
      <c r="K10" s="116">
        <v>2.002536231884058</v>
      </c>
      <c r="L10" s="116">
        <v>0</v>
      </c>
    </row>
    <row r="11" spans="2:12" ht="12.75" outlineLevel="1">
      <c r="B11" s="170" t="s">
        <v>200</v>
      </c>
      <c r="C11" s="170"/>
      <c r="D11" s="170"/>
      <c r="E11" s="116">
        <v>0</v>
      </c>
      <c r="F11" s="116">
        <v>0</v>
      </c>
      <c r="G11" s="116">
        <v>0</v>
      </c>
      <c r="H11" s="116">
        <v>0</v>
      </c>
      <c r="I11" s="116">
        <v>13386.06260383816</v>
      </c>
      <c r="J11" s="116">
        <v>0</v>
      </c>
      <c r="K11" s="116">
        <v>303016.7635658915</v>
      </c>
      <c r="L11" s="116">
        <v>0</v>
      </c>
    </row>
    <row r="12" spans="2:12" ht="12.75" outlineLevel="1">
      <c r="B12" s="170" t="s">
        <v>201</v>
      </c>
      <c r="C12" s="170"/>
      <c r="D12" s="170"/>
      <c r="E12" s="116">
        <v>0</v>
      </c>
      <c r="F12" s="116">
        <v>0</v>
      </c>
      <c r="G12" s="116">
        <v>0</v>
      </c>
      <c r="H12" s="116">
        <v>0</v>
      </c>
      <c r="I12" s="116">
        <v>43469.71148241218</v>
      </c>
      <c r="J12" s="116">
        <v>0</v>
      </c>
      <c r="K12" s="116">
        <v>3394729.5454545454</v>
      </c>
      <c r="L12" s="116">
        <v>0</v>
      </c>
    </row>
    <row r="13" spans="2:12" ht="12.75" outlineLevel="1">
      <c r="B13" s="170" t="s">
        <v>203</v>
      </c>
      <c r="C13" s="170"/>
      <c r="D13" s="170"/>
      <c r="E13" s="116">
        <v>0</v>
      </c>
      <c r="F13" s="116">
        <v>0</v>
      </c>
      <c r="G13" s="116">
        <v>0</v>
      </c>
      <c r="H13" s="116">
        <v>0</v>
      </c>
      <c r="I13" s="116">
        <v>0</v>
      </c>
      <c r="J13" s="116">
        <v>0</v>
      </c>
      <c r="K13" s="116">
        <v>0</v>
      </c>
      <c r="L13" s="116">
        <v>0</v>
      </c>
    </row>
    <row r="14" spans="2:12" ht="12.75" outlineLevel="1">
      <c r="B14" s="170" t="s">
        <v>247</v>
      </c>
      <c r="C14" s="170"/>
      <c r="D14" s="170"/>
      <c r="E14" s="98"/>
      <c r="F14" s="98"/>
      <c r="G14" s="98"/>
      <c r="H14" s="98"/>
      <c r="I14" s="98"/>
      <c r="J14" s="98"/>
      <c r="K14" s="98"/>
      <c r="L14" s="98"/>
    </row>
    <row r="15" spans="2:12" ht="12.75" outlineLevel="1">
      <c r="B15" s="172" t="s">
        <v>204</v>
      </c>
      <c r="C15" s="170"/>
      <c r="D15" s="170"/>
      <c r="E15" s="98"/>
      <c r="F15" s="98"/>
      <c r="G15" s="98"/>
      <c r="H15" s="98"/>
      <c r="I15" s="98"/>
      <c r="J15" s="98"/>
      <c r="K15" s="98"/>
      <c r="L15" s="98"/>
    </row>
    <row r="16" spans="2:12" ht="12.75" outlineLevel="1">
      <c r="B16" s="170" t="s">
        <v>199</v>
      </c>
      <c r="C16" s="170"/>
      <c r="D16" s="170"/>
      <c r="E16" s="116">
        <v>0</v>
      </c>
      <c r="F16" s="116">
        <v>0</v>
      </c>
      <c r="G16" s="116">
        <v>0</v>
      </c>
      <c r="H16" s="116">
        <v>0</v>
      </c>
      <c r="I16" s="116">
        <v>0</v>
      </c>
      <c r="J16" s="116">
        <v>0</v>
      </c>
      <c r="K16" s="116">
        <v>5</v>
      </c>
      <c r="L16" s="116">
        <v>0</v>
      </c>
    </row>
    <row r="17" spans="2:12" ht="12.75" outlineLevel="1">
      <c r="B17" s="170" t="s">
        <v>200</v>
      </c>
      <c r="C17" s="170"/>
      <c r="D17" s="170"/>
      <c r="E17" s="116">
        <v>0</v>
      </c>
      <c r="F17" s="116">
        <v>0</v>
      </c>
      <c r="G17" s="116">
        <v>0</v>
      </c>
      <c r="H17" s="116">
        <v>0</v>
      </c>
      <c r="I17" s="116">
        <v>0</v>
      </c>
      <c r="J17" s="116">
        <v>0</v>
      </c>
      <c r="K17" s="116">
        <v>30165.46511627907</v>
      </c>
      <c r="L17" s="116">
        <v>0</v>
      </c>
    </row>
    <row r="18" spans="2:12" ht="12.75" outlineLevel="1">
      <c r="B18" s="170" t="s">
        <v>205</v>
      </c>
      <c r="C18" s="170"/>
      <c r="D18" s="170"/>
      <c r="E18" s="116">
        <v>0</v>
      </c>
      <c r="F18" s="116">
        <v>0</v>
      </c>
      <c r="G18" s="116">
        <v>0</v>
      </c>
      <c r="H18" s="116">
        <v>0</v>
      </c>
      <c r="I18" s="116">
        <v>0</v>
      </c>
      <c r="J18" s="116">
        <v>0</v>
      </c>
      <c r="K18" s="116">
        <v>105469.91304347826</v>
      </c>
      <c r="L18" s="116">
        <v>0</v>
      </c>
    </row>
    <row r="19" spans="2:12" ht="12.75" outlineLevel="1">
      <c r="B19" s="170" t="s">
        <v>203</v>
      </c>
      <c r="C19" s="170"/>
      <c r="D19" s="170"/>
      <c r="E19" s="116">
        <v>0</v>
      </c>
      <c r="F19" s="116">
        <v>0</v>
      </c>
      <c r="G19" s="116">
        <v>0</v>
      </c>
      <c r="H19" s="116">
        <v>0</v>
      </c>
      <c r="I19" s="116">
        <v>0</v>
      </c>
      <c r="J19" s="116">
        <v>0</v>
      </c>
      <c r="K19" s="116">
        <v>1341372.5490196077</v>
      </c>
      <c r="L19" s="116">
        <v>0</v>
      </c>
    </row>
    <row r="20" spans="2:12" ht="12.75" outlineLevel="1">
      <c r="B20" s="170" t="s">
        <v>247</v>
      </c>
      <c r="C20" s="170"/>
      <c r="D20" s="170"/>
      <c r="E20" s="98"/>
      <c r="F20" s="98"/>
      <c r="G20" s="98"/>
      <c r="H20" s="98"/>
      <c r="I20" s="98"/>
      <c r="J20" s="98"/>
      <c r="K20" s="98"/>
      <c r="L20" s="98"/>
    </row>
    <row r="21" spans="2:12" ht="12.75" outlineLevel="1">
      <c r="B21" s="172" t="s">
        <v>206</v>
      </c>
      <c r="C21" s="170"/>
      <c r="D21" s="170"/>
      <c r="E21" s="98"/>
      <c r="F21" s="98"/>
      <c r="G21" s="98"/>
      <c r="H21" s="98"/>
      <c r="I21" s="98"/>
      <c r="J21" s="98"/>
      <c r="K21" s="98"/>
      <c r="L21" s="98"/>
    </row>
    <row r="22" spans="2:12" ht="12.75" outlineLevel="1">
      <c r="B22" s="170" t="s">
        <v>199</v>
      </c>
      <c r="C22" s="170"/>
      <c r="D22" s="170"/>
      <c r="E22" s="116">
        <v>0</v>
      </c>
      <c r="F22" s="116">
        <v>1</v>
      </c>
      <c r="G22" s="116">
        <v>0</v>
      </c>
      <c r="H22" s="116">
        <v>0</v>
      </c>
      <c r="I22" s="116">
        <v>8.240093380692729</v>
      </c>
      <c r="J22" s="116">
        <v>0</v>
      </c>
      <c r="K22" s="116">
        <v>70.4141304347826</v>
      </c>
      <c r="L22" s="116">
        <v>0</v>
      </c>
    </row>
    <row r="23" spans="2:12" ht="12.75" outlineLevel="1">
      <c r="B23" s="170" t="s">
        <v>200</v>
      </c>
      <c r="C23" s="170"/>
      <c r="D23" s="170"/>
      <c r="E23" s="116">
        <v>0</v>
      </c>
      <c r="F23" s="116">
        <v>21780.09600000002</v>
      </c>
      <c r="G23" s="116">
        <v>0</v>
      </c>
      <c r="H23" s="116">
        <v>0</v>
      </c>
      <c r="I23" s="116">
        <v>48218.732498521524</v>
      </c>
      <c r="J23" s="116">
        <v>0</v>
      </c>
      <c r="K23" s="116">
        <v>842856.6314553991</v>
      </c>
      <c r="L23" s="116">
        <v>0</v>
      </c>
    </row>
    <row r="24" spans="2:12" ht="12.75" outlineLevel="1">
      <c r="B24" s="170" t="s">
        <v>201</v>
      </c>
      <c r="C24" s="170"/>
      <c r="D24" s="170"/>
      <c r="E24" s="116">
        <v>0</v>
      </c>
      <c r="F24" s="116">
        <v>223082.6400000006</v>
      </c>
      <c r="G24" s="116">
        <v>0</v>
      </c>
      <c r="H24" s="116">
        <v>0</v>
      </c>
      <c r="I24" s="116">
        <v>440583.7836300996</v>
      </c>
      <c r="J24" s="116">
        <v>0</v>
      </c>
      <c r="K24" s="116">
        <v>6590831</v>
      </c>
      <c r="L24" s="116">
        <v>0</v>
      </c>
    </row>
    <row r="25" spans="2:12" ht="12.75" outlineLevel="1">
      <c r="B25" s="170" t="s">
        <v>203</v>
      </c>
      <c r="C25" s="170"/>
      <c r="D25" s="170"/>
      <c r="E25" s="116">
        <v>0</v>
      </c>
      <c r="F25" s="116">
        <v>0</v>
      </c>
      <c r="G25" s="116">
        <v>0</v>
      </c>
      <c r="H25" s="116">
        <v>0</v>
      </c>
      <c r="I25" s="116">
        <v>0</v>
      </c>
      <c r="J25" s="116">
        <v>0</v>
      </c>
      <c r="K25" s="116">
        <v>83654313.72549018</v>
      </c>
      <c r="L25" s="116">
        <v>0</v>
      </c>
    </row>
    <row r="26" spans="2:12" ht="12.75" outlineLevel="1">
      <c r="B26" s="170" t="s">
        <v>247</v>
      </c>
      <c r="C26" s="170"/>
      <c r="D26" s="170"/>
      <c r="E26" s="98"/>
      <c r="F26" s="98"/>
      <c r="G26" s="98"/>
      <c r="H26" s="98"/>
      <c r="I26" s="98"/>
      <c r="J26" s="98"/>
      <c r="K26" s="98"/>
      <c r="L26" s="98"/>
    </row>
    <row r="27" spans="2:12" ht="12.75" outlineLevel="1">
      <c r="B27" s="172" t="s">
        <v>207</v>
      </c>
      <c r="C27" s="170"/>
      <c r="D27" s="170"/>
      <c r="E27" s="98"/>
      <c r="F27" s="98"/>
      <c r="G27" s="98"/>
      <c r="H27" s="98"/>
      <c r="I27" s="98"/>
      <c r="J27" s="98"/>
      <c r="K27" s="98"/>
      <c r="L27" s="98"/>
    </row>
    <row r="28" spans="2:12" ht="12.75" outlineLevel="1">
      <c r="B28" s="170" t="s">
        <v>199</v>
      </c>
      <c r="C28" s="170"/>
      <c r="D28" s="170"/>
      <c r="E28" s="116">
        <v>0</v>
      </c>
      <c r="F28" s="116">
        <v>0</v>
      </c>
      <c r="G28" s="116">
        <v>0</v>
      </c>
      <c r="H28" s="116">
        <v>2</v>
      </c>
      <c r="I28" s="116">
        <v>11.997</v>
      </c>
      <c r="J28" s="116">
        <v>0</v>
      </c>
      <c r="K28" s="116">
        <v>10.868115942028986</v>
      </c>
      <c r="L28" s="116">
        <v>0</v>
      </c>
    </row>
    <row r="29" spans="2:12" ht="12.75" outlineLevel="1">
      <c r="B29" s="170" t="s">
        <v>200</v>
      </c>
      <c r="C29" s="170"/>
      <c r="D29" s="170"/>
      <c r="E29" s="116">
        <v>0</v>
      </c>
      <c r="F29" s="116">
        <v>0</v>
      </c>
      <c r="G29" s="116">
        <v>0</v>
      </c>
      <c r="H29" s="116">
        <v>7472.0091743119265</v>
      </c>
      <c r="I29" s="116">
        <v>78500.10465611573</v>
      </c>
      <c r="J29" s="116">
        <v>0</v>
      </c>
      <c r="K29" s="116">
        <v>238339.78873239437</v>
      </c>
      <c r="L29" s="116">
        <v>0</v>
      </c>
    </row>
    <row r="30" spans="2:12" ht="12.75" outlineLevel="1">
      <c r="B30" s="170" t="s">
        <v>205</v>
      </c>
      <c r="C30" s="170"/>
      <c r="D30" s="170"/>
      <c r="E30" s="116">
        <v>0</v>
      </c>
      <c r="F30" s="116">
        <v>0</v>
      </c>
      <c r="G30" s="116">
        <v>0</v>
      </c>
      <c r="H30" s="116">
        <v>42608</v>
      </c>
      <c r="I30" s="116">
        <v>1494718.992</v>
      </c>
      <c r="J30" s="116">
        <v>0</v>
      </c>
      <c r="K30" s="116">
        <v>2101154.8387096776</v>
      </c>
      <c r="L30" s="116">
        <v>0</v>
      </c>
    </row>
    <row r="31" spans="2:12" ht="12.75" outlineLevel="1">
      <c r="B31" s="170" t="s">
        <v>203</v>
      </c>
      <c r="C31" s="170"/>
      <c r="D31" s="170"/>
      <c r="E31" s="116">
        <v>0</v>
      </c>
      <c r="F31" s="116">
        <v>0</v>
      </c>
      <c r="G31" s="116">
        <v>0</v>
      </c>
      <c r="H31" s="116">
        <v>5624760</v>
      </c>
      <c r="I31" s="116">
        <v>0</v>
      </c>
      <c r="J31" s="116">
        <v>0</v>
      </c>
      <c r="K31" s="116">
        <v>53723333.33333333</v>
      </c>
      <c r="L31" s="116">
        <v>0</v>
      </c>
    </row>
    <row r="32" spans="2:12" ht="12.75" outlineLevel="1">
      <c r="B32" s="170" t="s">
        <v>247</v>
      </c>
      <c r="C32" s="170"/>
      <c r="D32" s="170"/>
      <c r="E32" s="98"/>
      <c r="F32" s="98"/>
      <c r="G32" s="98"/>
      <c r="H32" s="98"/>
      <c r="I32" s="98"/>
      <c r="J32" s="98"/>
      <c r="K32" s="98"/>
      <c r="L32" s="98"/>
    </row>
    <row r="33" spans="2:12" ht="12.75" outlineLevel="1">
      <c r="B33" s="172" t="s">
        <v>208</v>
      </c>
      <c r="C33" s="170"/>
      <c r="D33" s="170"/>
      <c r="E33" s="98"/>
      <c r="F33" s="98"/>
      <c r="G33" s="98"/>
      <c r="H33" s="98"/>
      <c r="I33" s="98"/>
      <c r="J33" s="98"/>
      <c r="K33" s="98"/>
      <c r="L33" s="98"/>
    </row>
    <row r="34" spans="2:12" ht="12.75" outlineLevel="1">
      <c r="B34" s="170" t="s">
        <v>199</v>
      </c>
      <c r="C34" s="170"/>
      <c r="D34" s="170"/>
      <c r="E34" s="116">
        <v>0</v>
      </c>
      <c r="F34" s="116">
        <v>24.416666666666657</v>
      </c>
      <c r="G34" s="116">
        <v>0</v>
      </c>
      <c r="H34" s="116">
        <v>214.5264163372859</v>
      </c>
      <c r="I34" s="116">
        <v>205.79317964681968</v>
      </c>
      <c r="J34" s="116">
        <v>0</v>
      </c>
      <c r="K34" s="116">
        <v>85.3909420289855</v>
      </c>
      <c r="L34" s="116">
        <v>1</v>
      </c>
    </row>
    <row r="35" spans="2:12" ht="12.75" outlineLevel="1">
      <c r="B35" s="170" t="s">
        <v>200</v>
      </c>
      <c r="C35" s="170"/>
      <c r="D35" s="170"/>
      <c r="E35" s="116">
        <v>0</v>
      </c>
      <c r="F35" s="116">
        <v>60816.01249999998</v>
      </c>
      <c r="G35" s="116">
        <v>0</v>
      </c>
      <c r="H35" s="116">
        <v>1436437.3924202446</v>
      </c>
      <c r="I35" s="116">
        <v>918893.1661107216</v>
      </c>
      <c r="J35" s="116">
        <v>0</v>
      </c>
      <c r="K35" s="116">
        <v>321782.6197786132</v>
      </c>
      <c r="L35" s="116">
        <v>16964</v>
      </c>
    </row>
    <row r="36" spans="2:12" ht="12.75" outlineLevel="1">
      <c r="B36" s="170" t="s">
        <v>201</v>
      </c>
      <c r="C36" s="170"/>
      <c r="D36" s="170"/>
      <c r="E36" s="116">
        <v>0</v>
      </c>
      <c r="F36" s="116">
        <v>524952.6</v>
      </c>
      <c r="G36" s="116">
        <v>0</v>
      </c>
      <c r="H36" s="116">
        <v>14398230.70652832</v>
      </c>
      <c r="I36" s="116">
        <v>8934930.701061636</v>
      </c>
      <c r="J36" s="116">
        <v>0</v>
      </c>
      <c r="K36" s="116">
        <v>3136940</v>
      </c>
      <c r="L36" s="116">
        <v>170788</v>
      </c>
    </row>
    <row r="37" spans="2:12" ht="12.75" outlineLevel="1">
      <c r="B37" s="170" t="s">
        <v>203</v>
      </c>
      <c r="C37" s="170"/>
      <c r="D37" s="170"/>
      <c r="E37" s="116">
        <v>0</v>
      </c>
      <c r="F37" s="116">
        <v>0</v>
      </c>
      <c r="G37" s="116">
        <v>0</v>
      </c>
      <c r="H37" s="116">
        <v>57994213.36363637</v>
      </c>
      <c r="I37" s="116">
        <v>18317886.433945615</v>
      </c>
      <c r="J37" s="116">
        <v>0</v>
      </c>
      <c r="K37" s="116">
        <v>13652058.823529411</v>
      </c>
      <c r="L37" s="116">
        <v>0</v>
      </c>
    </row>
    <row r="38" spans="2:12" ht="12.75" outlineLevel="1">
      <c r="B38" s="170" t="s">
        <v>247</v>
      </c>
      <c r="C38" s="170"/>
      <c r="D38" s="170"/>
      <c r="E38" s="98"/>
      <c r="F38" s="98"/>
      <c r="G38" s="98"/>
      <c r="H38" s="98"/>
      <c r="I38" s="98"/>
      <c r="J38" s="98"/>
      <c r="K38" s="98"/>
      <c r="L38" s="98"/>
    </row>
    <row r="39" spans="2:12" ht="12.75" outlineLevel="1">
      <c r="B39" s="172" t="s">
        <v>209</v>
      </c>
      <c r="C39" s="170"/>
      <c r="D39" s="170"/>
      <c r="E39" s="98"/>
      <c r="F39" s="98"/>
      <c r="G39" s="98"/>
      <c r="H39" s="98"/>
      <c r="I39" s="98"/>
      <c r="J39" s="98"/>
      <c r="K39" s="98"/>
      <c r="L39" s="98"/>
    </row>
    <row r="40" spans="2:12" ht="12.75" outlineLevel="1">
      <c r="B40" s="170" t="s">
        <v>199</v>
      </c>
      <c r="C40" s="170"/>
      <c r="D40" s="170"/>
      <c r="E40" s="116">
        <v>0</v>
      </c>
      <c r="F40" s="116">
        <v>1</v>
      </c>
      <c r="G40" s="116">
        <v>0</v>
      </c>
      <c r="H40" s="116">
        <v>14.946969696969697</v>
      </c>
      <c r="I40" s="116">
        <v>8</v>
      </c>
      <c r="J40" s="116">
        <v>0</v>
      </c>
      <c r="K40" s="116">
        <v>3.9090579710144926</v>
      </c>
      <c r="L40" s="116">
        <v>0</v>
      </c>
    </row>
    <row r="41" spans="2:12" ht="12.75" outlineLevel="1">
      <c r="B41" s="170" t="s">
        <v>200</v>
      </c>
      <c r="C41" s="170"/>
      <c r="D41" s="170"/>
      <c r="E41" s="116">
        <v>0</v>
      </c>
      <c r="F41" s="116">
        <v>9300</v>
      </c>
      <c r="G41" s="116">
        <v>0</v>
      </c>
      <c r="H41" s="116">
        <v>96262.766610698</v>
      </c>
      <c r="I41" s="116">
        <v>25227.015873015876</v>
      </c>
      <c r="J41" s="116">
        <v>0</v>
      </c>
      <c r="K41" s="116">
        <v>23327.579365079364</v>
      </c>
      <c r="L41" s="116">
        <v>0</v>
      </c>
    </row>
    <row r="42" spans="2:12" ht="12.75" outlineLevel="1">
      <c r="B42" s="170" t="s">
        <v>205</v>
      </c>
      <c r="C42" s="170"/>
      <c r="D42" s="170"/>
      <c r="E42" s="116">
        <v>0</v>
      </c>
      <c r="F42" s="116">
        <v>168656</v>
      </c>
      <c r="G42" s="116">
        <v>0</v>
      </c>
      <c r="H42" s="116">
        <v>1040310.9440559443</v>
      </c>
      <c r="I42" s="116">
        <v>387708.2222222222</v>
      </c>
      <c r="J42" s="116">
        <v>0</v>
      </c>
      <c r="K42" s="116">
        <v>500788.5714285715</v>
      </c>
      <c r="L42" s="116">
        <v>0</v>
      </c>
    </row>
    <row r="43" spans="2:12" ht="12.75" outlineLevel="1">
      <c r="B43" s="170" t="s">
        <v>203</v>
      </c>
      <c r="C43" s="170"/>
      <c r="D43" s="170"/>
      <c r="E43" s="116">
        <v>0</v>
      </c>
      <c r="F43" s="116">
        <v>0</v>
      </c>
      <c r="G43" s="116">
        <v>0</v>
      </c>
      <c r="H43" s="116">
        <v>153627.27272727274</v>
      </c>
      <c r="I43" s="116">
        <v>0</v>
      </c>
      <c r="J43" s="116">
        <v>0</v>
      </c>
      <c r="K43" s="116">
        <v>0</v>
      </c>
      <c r="L43" s="116">
        <v>0</v>
      </c>
    </row>
    <row r="44" spans="2:12" ht="12.75" outlineLevel="1">
      <c r="B44" s="170" t="s">
        <v>247</v>
      </c>
      <c r="C44" s="170"/>
      <c r="D44" s="170"/>
      <c r="E44" s="98"/>
      <c r="F44" s="98"/>
      <c r="G44" s="98"/>
      <c r="H44" s="98"/>
      <c r="I44" s="98"/>
      <c r="J44" s="98"/>
      <c r="K44" s="98"/>
      <c r="L44" s="98"/>
    </row>
    <row r="45" spans="2:12" ht="12.75" outlineLevel="1">
      <c r="B45" s="172" t="s">
        <v>210</v>
      </c>
      <c r="C45" s="170"/>
      <c r="D45" s="170"/>
      <c r="E45" s="98"/>
      <c r="F45" s="98"/>
      <c r="G45" s="98"/>
      <c r="H45" s="98"/>
      <c r="I45" s="98"/>
      <c r="J45" s="98"/>
      <c r="K45" s="98"/>
      <c r="L45" s="98"/>
    </row>
    <row r="46" spans="2:12" ht="12.75" outlineLevel="1">
      <c r="B46" s="170" t="s">
        <v>199</v>
      </c>
      <c r="C46" s="170"/>
      <c r="D46" s="170"/>
      <c r="E46" s="116">
        <v>0</v>
      </c>
      <c r="F46" s="116">
        <v>0</v>
      </c>
      <c r="G46" s="116">
        <v>5</v>
      </c>
      <c r="H46" s="116">
        <v>275.2972335600908</v>
      </c>
      <c r="I46" s="116">
        <v>0</v>
      </c>
      <c r="J46" s="116">
        <v>1</v>
      </c>
      <c r="K46" s="116">
        <v>0</v>
      </c>
      <c r="L46" s="116">
        <v>0</v>
      </c>
    </row>
    <row r="47" spans="2:12" ht="12.75" outlineLevel="1">
      <c r="B47" s="170" t="s">
        <v>211</v>
      </c>
      <c r="C47" s="170"/>
      <c r="D47" s="170"/>
      <c r="E47" s="116">
        <v>0</v>
      </c>
      <c r="F47" s="116">
        <v>0</v>
      </c>
      <c r="G47" s="116">
        <v>35855</v>
      </c>
      <c r="H47" s="116">
        <v>693522.137087691</v>
      </c>
      <c r="I47" s="116">
        <v>0</v>
      </c>
      <c r="J47" s="116">
        <v>5900</v>
      </c>
      <c r="K47" s="116">
        <v>0</v>
      </c>
      <c r="L47" s="116">
        <v>0</v>
      </c>
    </row>
    <row r="48" spans="2:12" ht="12.75" outlineLevel="1">
      <c r="B48" s="170" t="s">
        <v>201</v>
      </c>
      <c r="C48" s="170"/>
      <c r="D48" s="170"/>
      <c r="E48" s="116">
        <v>0</v>
      </c>
      <c r="F48" s="116">
        <v>0</v>
      </c>
      <c r="G48" s="116">
        <v>404848</v>
      </c>
      <c r="H48" s="116">
        <v>6702417.347789819</v>
      </c>
      <c r="I48" s="116">
        <v>0</v>
      </c>
      <c r="J48" s="116">
        <v>65430</v>
      </c>
      <c r="K48" s="116">
        <v>0</v>
      </c>
      <c r="L48" s="116">
        <v>0</v>
      </c>
    </row>
    <row r="49" spans="2:12" ht="12.75" outlineLevel="1">
      <c r="B49" s="170" t="s">
        <v>202</v>
      </c>
      <c r="C49" s="170"/>
      <c r="D49" s="170"/>
      <c r="E49" s="116">
        <v>0</v>
      </c>
      <c r="F49" s="116">
        <v>0</v>
      </c>
      <c r="G49" s="116">
        <v>173654956</v>
      </c>
      <c r="H49" s="116">
        <v>2807015479.9154334</v>
      </c>
      <c r="I49" s="116">
        <v>0</v>
      </c>
      <c r="J49" s="116">
        <v>5054200</v>
      </c>
      <c r="K49" s="116">
        <v>0</v>
      </c>
      <c r="L49" s="116">
        <v>0</v>
      </c>
    </row>
    <row r="50" spans="2:12" ht="12.75" outlineLevel="1">
      <c r="B50" s="170" t="s">
        <v>203</v>
      </c>
      <c r="C50" s="170"/>
      <c r="D50" s="170"/>
      <c r="E50" s="116">
        <v>0</v>
      </c>
      <c r="F50" s="116">
        <v>0</v>
      </c>
      <c r="G50" s="116">
        <v>0</v>
      </c>
      <c r="H50" s="116">
        <v>75202176.36363634</v>
      </c>
      <c r="I50" s="116">
        <v>0</v>
      </c>
      <c r="J50" s="116">
        <v>296</v>
      </c>
      <c r="K50" s="116">
        <v>0</v>
      </c>
      <c r="L50" s="116">
        <v>0</v>
      </c>
    </row>
    <row r="51" spans="2:12" ht="12.75" outlineLevel="1">
      <c r="B51" s="170" t="s">
        <v>247</v>
      </c>
      <c r="C51" s="170"/>
      <c r="D51" s="170"/>
      <c r="E51" s="98"/>
      <c r="F51" s="98"/>
      <c r="G51" s="98"/>
      <c r="H51" s="98"/>
      <c r="I51" s="98"/>
      <c r="J51" s="98"/>
      <c r="K51" s="98"/>
      <c r="L51" s="98"/>
    </row>
    <row r="52" spans="2:12" ht="12.75" outlineLevel="1">
      <c r="B52" s="172" t="s">
        <v>212</v>
      </c>
      <c r="C52" s="170"/>
      <c r="D52" s="170"/>
      <c r="E52" s="98"/>
      <c r="F52" s="98"/>
      <c r="G52" s="98"/>
      <c r="H52" s="98"/>
      <c r="I52" s="98"/>
      <c r="J52" s="98"/>
      <c r="K52" s="98"/>
      <c r="L52" s="98"/>
    </row>
    <row r="53" spans="2:12" ht="12.75" outlineLevel="1">
      <c r="B53" s="170" t="s">
        <v>199</v>
      </c>
      <c r="C53" s="170"/>
      <c r="D53" s="170"/>
      <c r="E53" s="116">
        <v>31</v>
      </c>
      <c r="F53" s="116">
        <v>315.25</v>
      </c>
      <c r="G53" s="116">
        <v>588</v>
      </c>
      <c r="H53" s="116">
        <v>8145.133836322405</v>
      </c>
      <c r="I53" s="116">
        <v>7468.663999686416</v>
      </c>
      <c r="J53" s="116">
        <v>19</v>
      </c>
      <c r="K53" s="116">
        <v>6399.277631476912</v>
      </c>
      <c r="L53" s="116">
        <v>124.14865648945658</v>
      </c>
    </row>
    <row r="54" spans="2:12" ht="12.75" outlineLevel="1">
      <c r="B54" s="170" t="s">
        <v>211</v>
      </c>
      <c r="C54" s="170"/>
      <c r="D54" s="170"/>
      <c r="E54" s="116">
        <v>27406</v>
      </c>
      <c r="F54" s="116">
        <v>163038.25</v>
      </c>
      <c r="G54" s="116">
        <v>134388</v>
      </c>
      <c r="H54" s="116">
        <v>2685845.9661647147</v>
      </c>
      <c r="I54" s="116">
        <v>3025210.1571575454</v>
      </c>
      <c r="J54" s="116">
        <v>22331.916666666668</v>
      </c>
      <c r="K54" s="116">
        <v>2489436.1983117294</v>
      </c>
      <c r="L54" s="116">
        <v>134688.87522740022</v>
      </c>
    </row>
    <row r="55" spans="2:12" ht="12.75" outlineLevel="1">
      <c r="B55" s="170" t="s">
        <v>201</v>
      </c>
      <c r="C55" s="170"/>
      <c r="D55" s="170"/>
      <c r="E55" s="116">
        <v>274359</v>
      </c>
      <c r="F55" s="116">
        <v>1342584.2</v>
      </c>
      <c r="G55" s="116">
        <v>1126550</v>
      </c>
      <c r="H55" s="116">
        <v>24431689.9313544</v>
      </c>
      <c r="I55" s="116">
        <v>25836760.50586204</v>
      </c>
      <c r="J55" s="116">
        <v>218273</v>
      </c>
      <c r="K55" s="116">
        <v>18350210.729917537</v>
      </c>
      <c r="L55" s="116">
        <v>1101312.976375464</v>
      </c>
    </row>
    <row r="56" spans="2:12" ht="12.75" outlineLevel="1">
      <c r="B56" s="170" t="s">
        <v>202</v>
      </c>
      <c r="C56" s="170"/>
      <c r="D56" s="170"/>
      <c r="E56" s="116">
        <v>99246802</v>
      </c>
      <c r="F56" s="116">
        <v>439948595.29999995</v>
      </c>
      <c r="G56" s="116">
        <v>378774636</v>
      </c>
      <c r="H56" s="116">
        <v>7673394276.090908</v>
      </c>
      <c r="I56" s="116">
        <v>8290828757.064467</v>
      </c>
      <c r="J56" s="116">
        <v>80215075</v>
      </c>
      <c r="K56" s="116">
        <v>5984156794.426784</v>
      </c>
      <c r="L56" s="116">
        <v>314965717.6974478</v>
      </c>
    </row>
    <row r="57" spans="2:12" ht="12.75" outlineLevel="1">
      <c r="B57" s="170" t="s">
        <v>203</v>
      </c>
      <c r="C57" s="170"/>
      <c r="D57" s="170"/>
      <c r="E57" s="116">
        <v>2059440</v>
      </c>
      <c r="F57" s="116">
        <v>0</v>
      </c>
      <c r="G57" s="116">
        <v>8233302</v>
      </c>
      <c r="H57" s="116">
        <v>275219674.3636363</v>
      </c>
      <c r="I57" s="116">
        <v>6011116.256519199</v>
      </c>
      <c r="J57" s="116">
        <v>2608404</v>
      </c>
      <c r="K57" s="116">
        <v>93023806.75770104</v>
      </c>
      <c r="L57" s="116">
        <v>0</v>
      </c>
    </row>
    <row r="58" spans="2:12" ht="12.75" outlineLevel="1">
      <c r="B58" s="170" t="s">
        <v>247</v>
      </c>
      <c r="C58" s="170"/>
      <c r="D58" s="170"/>
      <c r="E58" s="98"/>
      <c r="F58" s="98"/>
      <c r="G58" s="98"/>
      <c r="H58" s="98"/>
      <c r="I58" s="98"/>
      <c r="J58" s="98"/>
      <c r="K58" s="98"/>
      <c r="L58" s="98"/>
    </row>
    <row r="59" spans="2:12" ht="12.75" outlineLevel="1">
      <c r="B59" s="172" t="s">
        <v>213</v>
      </c>
      <c r="C59" s="170"/>
      <c r="D59" s="170"/>
      <c r="E59" s="98"/>
      <c r="F59" s="98"/>
      <c r="G59" s="98"/>
      <c r="H59" s="98"/>
      <c r="I59" s="98"/>
      <c r="J59" s="98"/>
      <c r="K59" s="98"/>
      <c r="L59" s="98"/>
    </row>
    <row r="60" spans="2:12" ht="12.75" outlineLevel="1">
      <c r="B60" s="170" t="s">
        <v>199</v>
      </c>
      <c r="C60" s="170"/>
      <c r="D60" s="170"/>
      <c r="E60" s="116">
        <v>189</v>
      </c>
      <c r="F60" s="116">
        <v>1227.1666666666667</v>
      </c>
      <c r="G60" s="116">
        <v>755.0271222970613</v>
      </c>
      <c r="H60" s="116">
        <v>13875.097274788704</v>
      </c>
      <c r="I60" s="116">
        <v>13559.465422288691</v>
      </c>
      <c r="J60" s="116">
        <v>127.5</v>
      </c>
      <c r="K60" s="116">
        <v>10329.245602788094</v>
      </c>
      <c r="L60" s="116">
        <v>1234.7275149812124</v>
      </c>
    </row>
    <row r="61" spans="2:12" ht="12.75" outlineLevel="1">
      <c r="B61" s="170" t="s">
        <v>211</v>
      </c>
      <c r="C61" s="170"/>
      <c r="D61" s="170"/>
      <c r="E61" s="116">
        <v>36884</v>
      </c>
      <c r="F61" s="116">
        <v>117252.25</v>
      </c>
      <c r="G61" s="116">
        <v>37065.86513259692</v>
      </c>
      <c r="H61" s="116">
        <v>1001458.4281879193</v>
      </c>
      <c r="I61" s="116">
        <v>1244157.8635049441</v>
      </c>
      <c r="J61" s="116">
        <v>20380.166666666668</v>
      </c>
      <c r="K61" s="116">
        <v>1034847.6108130898</v>
      </c>
      <c r="L61" s="116">
        <v>286608.8256281273</v>
      </c>
    </row>
    <row r="62" spans="2:12" ht="12.75" outlineLevel="1">
      <c r="B62" s="170" t="s">
        <v>201</v>
      </c>
      <c r="C62" s="170"/>
      <c r="D62" s="170"/>
      <c r="E62" s="116">
        <v>343533</v>
      </c>
      <c r="F62" s="116">
        <v>949240</v>
      </c>
      <c r="G62" s="116">
        <v>271896.2500415578</v>
      </c>
      <c r="H62" s="116">
        <v>8069353.959183672</v>
      </c>
      <c r="I62" s="116">
        <v>9606120.00190151</v>
      </c>
      <c r="J62" s="116">
        <v>192959</v>
      </c>
      <c r="K62" s="116">
        <v>7513463.519173019</v>
      </c>
      <c r="L62" s="116">
        <v>2111305.541156277</v>
      </c>
    </row>
    <row r="63" spans="2:12" ht="12.75" outlineLevel="1">
      <c r="B63" s="170" t="s">
        <v>202</v>
      </c>
      <c r="C63" s="170"/>
      <c r="D63" s="170"/>
      <c r="E63" s="116">
        <v>95770032</v>
      </c>
      <c r="F63" s="116">
        <v>253035750.8</v>
      </c>
      <c r="G63" s="116">
        <v>72247391.8932347</v>
      </c>
      <c r="H63" s="116">
        <v>2174199787.1764703</v>
      </c>
      <c r="I63" s="116">
        <v>2550767257.1899257</v>
      </c>
      <c r="J63" s="116">
        <v>51341646</v>
      </c>
      <c r="K63" s="116">
        <v>1917376961.698553</v>
      </c>
      <c r="L63" s="116">
        <v>557775692.8716384</v>
      </c>
    </row>
    <row r="64" spans="2:12" ht="12.75" outlineLevel="1">
      <c r="B64" s="170" t="s">
        <v>203</v>
      </c>
      <c r="C64" s="170"/>
      <c r="D64" s="170"/>
      <c r="E64" s="116">
        <v>1509207</v>
      </c>
      <c r="F64" s="116">
        <v>0</v>
      </c>
      <c r="G64" s="116">
        <v>154174.96908329273</v>
      </c>
      <c r="H64" s="116">
        <v>40773203.81818183</v>
      </c>
      <c r="I64" s="116">
        <v>0</v>
      </c>
      <c r="J64" s="116">
        <v>1021367</v>
      </c>
      <c r="K64" s="116">
        <v>26609153.04678166</v>
      </c>
      <c r="L64" s="116">
        <v>0</v>
      </c>
    </row>
    <row r="65" spans="2:12" ht="12.75" outlineLevel="1">
      <c r="B65" s="170" t="s">
        <v>247</v>
      </c>
      <c r="C65" s="170"/>
      <c r="D65" s="170"/>
      <c r="E65" s="195"/>
      <c r="F65" s="98"/>
      <c r="G65" s="98"/>
      <c r="H65" s="98"/>
      <c r="I65" s="98"/>
      <c r="J65" s="98"/>
      <c r="K65" s="98"/>
      <c r="L65" s="98"/>
    </row>
    <row r="66" spans="2:12" ht="12.75" outlineLevel="1">
      <c r="B66" s="172" t="s">
        <v>214</v>
      </c>
      <c r="C66" s="170"/>
      <c r="D66" s="170"/>
      <c r="E66" s="98"/>
      <c r="F66" s="98"/>
      <c r="G66" s="98"/>
      <c r="H66" s="98"/>
      <c r="I66" s="98"/>
      <c r="J66" s="98"/>
      <c r="K66" s="98"/>
      <c r="L66" s="98"/>
    </row>
    <row r="67" spans="2:12" ht="12.75" outlineLevel="1">
      <c r="B67" s="170" t="s">
        <v>199</v>
      </c>
      <c r="C67" s="170"/>
      <c r="D67" s="170"/>
      <c r="E67" s="116">
        <v>307</v>
      </c>
      <c r="F67" s="116">
        <v>452</v>
      </c>
      <c r="G67" s="116">
        <v>0</v>
      </c>
      <c r="H67" s="116">
        <v>3762.6042424242423</v>
      </c>
      <c r="I67" s="116">
        <v>6205.047002888674</v>
      </c>
      <c r="J67" s="116">
        <v>87.8</v>
      </c>
      <c r="K67" s="116">
        <v>333.11508773045716</v>
      </c>
      <c r="L67" s="116">
        <v>138.20678770560357</v>
      </c>
    </row>
    <row r="68" spans="2:12" ht="12.75" outlineLevel="1">
      <c r="B68" s="170" t="s">
        <v>211</v>
      </c>
      <c r="C68" s="170"/>
      <c r="D68" s="170"/>
      <c r="E68" s="116">
        <v>23466</v>
      </c>
      <c r="F68" s="116">
        <v>22460</v>
      </c>
      <c r="G68" s="116">
        <v>0</v>
      </c>
      <c r="H68" s="116">
        <v>91165.26094957672</v>
      </c>
      <c r="I68" s="116">
        <v>232486.42784652006</v>
      </c>
      <c r="J68" s="116">
        <v>5437.75</v>
      </c>
      <c r="K68" s="116">
        <v>22487.10837819246</v>
      </c>
      <c r="L68" s="116">
        <v>22424.59495861271</v>
      </c>
    </row>
    <row r="69" spans="2:12" ht="12.75" outlineLevel="1">
      <c r="B69" s="170" t="s">
        <v>221</v>
      </c>
      <c r="C69" s="170"/>
      <c r="D69" s="170"/>
      <c r="E69" s="116">
        <v>15955565</v>
      </c>
      <c r="F69" s="116">
        <v>8221796</v>
      </c>
      <c r="G69" s="116">
        <v>0</v>
      </c>
      <c r="H69" s="116">
        <v>70996576.92307693</v>
      </c>
      <c r="I69" s="116">
        <v>168146152.70179552</v>
      </c>
      <c r="J69" s="116">
        <v>4904362</v>
      </c>
      <c r="K69" s="116">
        <v>13985109.99910744</v>
      </c>
      <c r="L69" s="116">
        <v>6139185.238235198</v>
      </c>
    </row>
    <row r="70" spans="2:12" ht="12.75" outlineLevel="1">
      <c r="B70" s="170" t="s">
        <v>202</v>
      </c>
      <c r="C70" s="170"/>
      <c r="D70" s="170"/>
      <c r="E70" s="116">
        <v>32687208</v>
      </c>
      <c r="F70" s="116">
        <v>15989867.466666667</v>
      </c>
      <c r="G70" s="116">
        <v>0</v>
      </c>
      <c r="H70" s="116">
        <v>106841993.3110368</v>
      </c>
      <c r="I70" s="116">
        <v>265824582.64424273</v>
      </c>
      <c r="J70" s="116">
        <v>9112678</v>
      </c>
      <c r="K70" s="116">
        <v>23842311.99878028</v>
      </c>
      <c r="L70" s="116">
        <v>7890424.120565626</v>
      </c>
    </row>
    <row r="71" spans="2:12" ht="12.75" outlineLevel="1">
      <c r="B71" s="170" t="s">
        <v>203</v>
      </c>
      <c r="C71" s="170"/>
      <c r="D71" s="170"/>
      <c r="E71" s="116">
        <v>812096</v>
      </c>
      <c r="F71" s="116">
        <v>0</v>
      </c>
      <c r="G71" s="116">
        <v>0</v>
      </c>
      <c r="H71" s="116">
        <v>0</v>
      </c>
      <c r="I71" s="116">
        <v>0</v>
      </c>
      <c r="J71" s="116">
        <v>230229</v>
      </c>
      <c r="K71" s="116">
        <v>619986.3327721967</v>
      </c>
      <c r="L71" s="116">
        <v>0</v>
      </c>
    </row>
    <row r="72" spans="2:12" ht="12.75" outlineLevel="1">
      <c r="B72" s="170" t="s">
        <v>247</v>
      </c>
      <c r="C72" s="170"/>
      <c r="D72" s="170"/>
      <c r="E72" s="195"/>
      <c r="F72" s="98"/>
      <c r="G72" s="98"/>
      <c r="H72" s="98"/>
      <c r="I72" s="98"/>
      <c r="J72" s="98"/>
      <c r="K72" s="98"/>
      <c r="L72" s="98"/>
    </row>
    <row r="73" spans="2:12" ht="12.75" outlineLevel="1">
      <c r="B73" s="171" t="s">
        <v>505</v>
      </c>
      <c r="C73" s="170"/>
      <c r="D73" s="170"/>
      <c r="E73" s="195"/>
      <c r="F73" s="98"/>
      <c r="G73" s="98"/>
      <c r="H73" s="98"/>
      <c r="I73" s="98"/>
      <c r="J73" s="98"/>
      <c r="K73" s="98"/>
      <c r="L73" s="98"/>
    </row>
    <row r="74" spans="2:12" ht="12.75" outlineLevel="1">
      <c r="B74" s="170"/>
      <c r="C74" s="170"/>
      <c r="D74" s="170"/>
      <c r="E74" s="195"/>
      <c r="F74" s="98"/>
      <c r="G74" s="98"/>
      <c r="H74" s="98"/>
      <c r="I74" s="98"/>
      <c r="J74" s="98"/>
      <c r="K74" s="98"/>
      <c r="L74" s="98"/>
    </row>
    <row r="75" spans="2:12" ht="12.75" outlineLevel="1">
      <c r="B75" s="172" t="s">
        <v>222</v>
      </c>
      <c r="C75" s="176"/>
      <c r="D75" s="176"/>
      <c r="E75" s="195"/>
      <c r="F75" s="98"/>
      <c r="G75" s="98"/>
      <c r="H75" s="98"/>
      <c r="I75" s="98"/>
      <c r="J75" s="98"/>
      <c r="K75" s="98"/>
      <c r="L75" s="98"/>
    </row>
    <row r="76" spans="2:12" ht="12.75" outlineLevel="1">
      <c r="B76" s="170" t="s">
        <v>199</v>
      </c>
      <c r="C76" s="176"/>
      <c r="D76" s="176"/>
      <c r="E76" s="116">
        <v>1056</v>
      </c>
      <c r="F76" s="116">
        <v>5670.153333333333</v>
      </c>
      <c r="G76" s="116">
        <v>719.8804083404822</v>
      </c>
      <c r="H76" s="116">
        <v>79041.91974451997</v>
      </c>
      <c r="I76" s="116">
        <v>72229.69834513013</v>
      </c>
      <c r="J76" s="116">
        <v>1084.5</v>
      </c>
      <c r="K76" s="116">
        <v>60310</v>
      </c>
      <c r="L76" s="116">
        <v>4358.397843736571</v>
      </c>
    </row>
    <row r="77" spans="2:12" ht="12.75" outlineLevel="1">
      <c r="B77" s="170" t="s">
        <v>211</v>
      </c>
      <c r="C77" s="176"/>
      <c r="D77" s="176"/>
      <c r="E77" s="116">
        <v>12901</v>
      </c>
      <c r="F77" s="116">
        <v>126237.27500000001</v>
      </c>
      <c r="G77" s="116">
        <v>20968.2493767745</v>
      </c>
      <c r="H77" s="116">
        <v>2293885.322594608</v>
      </c>
      <c r="I77" s="116">
        <v>2214496.6976255705</v>
      </c>
      <c r="J77" s="116">
        <v>13472</v>
      </c>
      <c r="K77" s="116">
        <v>1916779.7117117115</v>
      </c>
      <c r="L77" s="116">
        <v>127333.74735739964</v>
      </c>
    </row>
    <row r="78" spans="2:12" ht="12.75" outlineLevel="1">
      <c r="B78" s="170" t="s">
        <v>221</v>
      </c>
      <c r="C78" s="176"/>
      <c r="D78" s="176"/>
      <c r="E78" s="116">
        <v>13979541</v>
      </c>
      <c r="F78" s="116">
        <v>83868963.1056752</v>
      </c>
      <c r="G78" s="116">
        <v>9934909.959504733</v>
      </c>
      <c r="H78" s="116">
        <v>1083733881.5012648</v>
      </c>
      <c r="I78" s="116">
        <v>962625491.2881572</v>
      </c>
      <c r="J78" s="116">
        <v>10636874</v>
      </c>
      <c r="K78" s="116">
        <v>653632149.9963506</v>
      </c>
      <c r="L78" s="116">
        <v>66205515.65365177</v>
      </c>
    </row>
    <row r="79" spans="2:12" ht="12.75" outlineLevel="1">
      <c r="B79" s="170" t="s">
        <v>202</v>
      </c>
      <c r="C79" s="176"/>
      <c r="D79" s="176"/>
      <c r="E79" s="116">
        <v>27223165</v>
      </c>
      <c r="F79" s="116">
        <v>105600835.45333093</v>
      </c>
      <c r="G79" s="116">
        <v>11656709.720786123</v>
      </c>
      <c r="H79" s="116">
        <v>1471462182.1942656</v>
      </c>
      <c r="I79" s="116">
        <v>1351737615.1050012</v>
      </c>
      <c r="J79" s="116">
        <v>23961893</v>
      </c>
      <c r="K79" s="116">
        <v>1014531666.5811418</v>
      </c>
      <c r="L79" s="116">
        <v>84744192.257001</v>
      </c>
    </row>
    <row r="80" spans="2:12" ht="12.75" outlineLevel="1">
      <c r="B80" s="170" t="s">
        <v>247</v>
      </c>
      <c r="C80" s="176"/>
      <c r="D80" s="176"/>
      <c r="E80" s="195"/>
      <c r="F80" s="98"/>
      <c r="G80" s="98"/>
      <c r="H80" s="98"/>
      <c r="I80" s="98"/>
      <c r="J80" s="98"/>
      <c r="K80" s="98"/>
      <c r="L80" s="98"/>
    </row>
    <row r="81" spans="2:12" ht="12.75" outlineLevel="1">
      <c r="B81" s="172" t="s">
        <v>223</v>
      </c>
      <c r="C81" s="176"/>
      <c r="D81" s="176"/>
      <c r="E81" s="195"/>
      <c r="F81" s="98"/>
      <c r="G81" s="98"/>
      <c r="H81" s="98"/>
      <c r="I81" s="98"/>
      <c r="J81" s="98"/>
      <c r="K81" s="98"/>
      <c r="L81" s="98"/>
    </row>
    <row r="82" spans="2:12" ht="12.75" outlineLevel="1">
      <c r="B82" s="170" t="s">
        <v>199</v>
      </c>
      <c r="C82" s="176"/>
      <c r="D82" s="176"/>
      <c r="E82" s="196">
        <v>514</v>
      </c>
      <c r="F82" s="116">
        <v>2001.5725</v>
      </c>
      <c r="G82" s="116">
        <v>2261.5815643671017</v>
      </c>
      <c r="H82" s="116">
        <v>31642.003652009218</v>
      </c>
      <c r="I82" s="116">
        <v>42061.223428813886</v>
      </c>
      <c r="J82" s="116">
        <v>0</v>
      </c>
      <c r="K82" s="116">
        <v>8814.777777777776</v>
      </c>
      <c r="L82" s="116">
        <v>0</v>
      </c>
    </row>
    <row r="83" spans="2:12" ht="12.75" outlineLevel="1">
      <c r="B83" s="170" t="s">
        <v>211</v>
      </c>
      <c r="C83" s="176"/>
      <c r="D83" s="176"/>
      <c r="E83" s="116">
        <v>6279</v>
      </c>
      <c r="F83" s="116">
        <v>42964.7</v>
      </c>
      <c r="G83" s="116">
        <v>82089.13553487316</v>
      </c>
      <c r="H83" s="116">
        <v>920371.4695874379</v>
      </c>
      <c r="I83" s="116">
        <v>1400651.124665836</v>
      </c>
      <c r="J83" s="116">
        <v>0</v>
      </c>
      <c r="K83" s="116">
        <v>252634.4144144144</v>
      </c>
      <c r="L83" s="116">
        <v>0</v>
      </c>
    </row>
    <row r="84" spans="2:12" ht="12.75" outlineLevel="1">
      <c r="B84" s="170" t="s">
        <v>224</v>
      </c>
      <c r="C84" s="176"/>
      <c r="D84" s="176"/>
      <c r="E84" s="116">
        <v>14275627</v>
      </c>
      <c r="F84" s="116">
        <v>33044894.065121543</v>
      </c>
      <c r="G84" s="116">
        <v>58131703.80949913</v>
      </c>
      <c r="H84" s="116">
        <v>767515660.1751466</v>
      </c>
      <c r="I84" s="116">
        <v>938039405.5786457</v>
      </c>
      <c r="J84" s="116">
        <v>0</v>
      </c>
      <c r="K84" s="116">
        <v>176581478.48901787</v>
      </c>
      <c r="L84" s="116">
        <v>0</v>
      </c>
    </row>
    <row r="85" spans="2:12" ht="12.75" outlineLevel="1">
      <c r="B85" s="170" t="s">
        <v>247</v>
      </c>
      <c r="C85" s="176"/>
      <c r="D85" s="176"/>
      <c r="E85" s="98"/>
      <c r="F85" s="98"/>
      <c r="G85" s="98"/>
      <c r="H85" s="98"/>
      <c r="I85" s="98"/>
      <c r="J85" s="98"/>
      <c r="K85" s="98"/>
      <c r="L85" s="98"/>
    </row>
    <row r="86" spans="2:12" ht="12.75" outlineLevel="1">
      <c r="B86" s="172" t="s">
        <v>225</v>
      </c>
      <c r="C86" s="176"/>
      <c r="D86" s="176"/>
      <c r="E86" s="98"/>
      <c r="F86" s="98"/>
      <c r="G86" s="98"/>
      <c r="H86" s="98"/>
      <c r="I86" s="98"/>
      <c r="J86" s="98"/>
      <c r="K86" s="98"/>
      <c r="L86" s="98"/>
    </row>
    <row r="87" spans="2:12" ht="12.75" outlineLevel="1">
      <c r="B87" s="170" t="s">
        <v>199</v>
      </c>
      <c r="C87" s="176"/>
      <c r="D87" s="176"/>
      <c r="E87" s="116">
        <v>30659</v>
      </c>
      <c r="F87" s="116">
        <v>72379.44583333335</v>
      </c>
      <c r="G87" s="116">
        <v>7357.255189004737</v>
      </c>
      <c r="H87" s="116">
        <v>1051385.071268062</v>
      </c>
      <c r="I87" s="116">
        <v>767249.8463274727</v>
      </c>
      <c r="J87" s="116">
        <v>16985.6</v>
      </c>
      <c r="K87" s="116">
        <v>1256257.13</v>
      </c>
      <c r="L87" s="116">
        <v>39703.278068608524</v>
      </c>
    </row>
    <row r="88" spans="2:12" ht="12.75" outlineLevel="1">
      <c r="B88" s="170" t="s">
        <v>221</v>
      </c>
      <c r="C88" s="176"/>
      <c r="D88" s="176"/>
      <c r="E88" s="116">
        <v>63304265</v>
      </c>
      <c r="F88" s="116">
        <v>187921252.8254965</v>
      </c>
      <c r="G88" s="116">
        <v>18943261.802133363</v>
      </c>
      <c r="H88" s="116">
        <v>2434460330.3267136</v>
      </c>
      <c r="I88" s="116">
        <v>1994327768.9691489</v>
      </c>
      <c r="J88" s="116">
        <v>33407566</v>
      </c>
      <c r="K88" s="116">
        <v>2432105066.5038524</v>
      </c>
      <c r="L88" s="116">
        <v>74170631.37703112</v>
      </c>
    </row>
    <row r="89" spans="2:12" ht="12.75" outlineLevel="1">
      <c r="B89" s="170" t="s">
        <v>202</v>
      </c>
      <c r="C89" s="176"/>
      <c r="D89" s="176"/>
      <c r="E89" s="116">
        <v>72835431</v>
      </c>
      <c r="F89" s="116">
        <v>175995459.21809116</v>
      </c>
      <c r="G89" s="116">
        <v>19214011.007465962</v>
      </c>
      <c r="H89" s="116">
        <v>2538428098.2852297</v>
      </c>
      <c r="I89" s="116">
        <v>2044927636.4288602</v>
      </c>
      <c r="J89" s="116">
        <v>37443399</v>
      </c>
      <c r="K89" s="116">
        <v>2452015711.2427406</v>
      </c>
      <c r="L89" s="116">
        <v>91715461.57531302</v>
      </c>
    </row>
    <row r="90" spans="2:12" ht="12.75" outlineLevel="1">
      <c r="B90" s="170" t="s">
        <v>247</v>
      </c>
      <c r="C90" s="176"/>
      <c r="D90" s="176"/>
      <c r="E90" s="98"/>
      <c r="F90" s="98"/>
      <c r="G90" s="98"/>
      <c r="H90" s="98"/>
      <c r="I90" s="98"/>
      <c r="J90" s="98"/>
      <c r="K90" s="98"/>
      <c r="L90" s="98"/>
    </row>
    <row r="91" spans="2:12" ht="12.75" outlineLevel="1">
      <c r="B91" s="172" t="s">
        <v>226</v>
      </c>
      <c r="C91" s="176"/>
      <c r="D91" s="176"/>
      <c r="E91" s="98"/>
      <c r="F91" s="98"/>
      <c r="G91" s="98"/>
      <c r="H91" s="98"/>
      <c r="I91" s="98"/>
      <c r="J91" s="98"/>
      <c r="K91" s="98"/>
      <c r="L91" s="98"/>
    </row>
    <row r="92" spans="2:12" ht="12.75" outlineLevel="1">
      <c r="B92" s="170" t="s">
        <v>199</v>
      </c>
      <c r="C92" s="176"/>
      <c r="D92" s="176"/>
      <c r="E92" s="116">
        <v>18395</v>
      </c>
      <c r="F92" s="116">
        <v>114971.20500000002</v>
      </c>
      <c r="G92" s="116">
        <v>89176.10919011297</v>
      </c>
      <c r="H92" s="116">
        <v>1298740.7700251548</v>
      </c>
      <c r="I92" s="116">
        <v>1867079.1613309004</v>
      </c>
      <c r="J92" s="116">
        <v>12267</v>
      </c>
      <c r="K92" s="116">
        <v>543917.3333333333</v>
      </c>
      <c r="L92" s="116">
        <v>5624.993333333334</v>
      </c>
    </row>
    <row r="93" spans="2:12" ht="12.75" outlineLevel="1">
      <c r="B93" s="170" t="s">
        <v>224</v>
      </c>
      <c r="C93" s="176"/>
      <c r="D93" s="176"/>
      <c r="E93" s="116">
        <v>51158487</v>
      </c>
      <c r="F93" s="116">
        <v>331613546.79264736</v>
      </c>
      <c r="G93" s="116">
        <v>297352385.7110364</v>
      </c>
      <c r="H93" s="116">
        <v>4363077221.666331</v>
      </c>
      <c r="I93" s="116">
        <v>5779873517.978471</v>
      </c>
      <c r="J93" s="116">
        <v>32427231</v>
      </c>
      <c r="K93" s="116">
        <v>1516581239.4705906</v>
      </c>
      <c r="L93" s="116">
        <v>14448471.232876714</v>
      </c>
    </row>
    <row r="94" spans="2:12" ht="12.75" outlineLevel="1">
      <c r="B94" s="170" t="s">
        <v>247</v>
      </c>
      <c r="C94" s="176"/>
      <c r="D94" s="176"/>
      <c r="E94" s="98"/>
      <c r="F94" s="98"/>
      <c r="G94" s="98"/>
      <c r="H94" s="98"/>
      <c r="I94" s="98"/>
      <c r="J94" s="98"/>
      <c r="K94" s="98"/>
      <c r="L94" s="98"/>
    </row>
    <row r="95" spans="2:12" ht="12.75" outlineLevel="1">
      <c r="B95" s="172" t="s">
        <v>232</v>
      </c>
      <c r="C95" s="176"/>
      <c r="D95" s="176"/>
      <c r="E95" s="98"/>
      <c r="F95" s="98"/>
      <c r="G95" s="98"/>
      <c r="H95" s="98"/>
      <c r="I95" s="98"/>
      <c r="J95" s="98"/>
      <c r="K95" s="98"/>
      <c r="L95" s="98"/>
    </row>
    <row r="96" spans="2:12" ht="12.75" outlineLevel="1">
      <c r="B96" s="170" t="s">
        <v>199</v>
      </c>
      <c r="C96" s="176"/>
      <c r="D96" s="176"/>
      <c r="E96" s="116">
        <v>21440</v>
      </c>
      <c r="F96" s="116">
        <v>81115.33333333333</v>
      </c>
      <c r="G96" s="116">
        <v>40214.5</v>
      </c>
      <c r="H96" s="116">
        <v>889401.0101010099</v>
      </c>
      <c r="I96" s="116">
        <v>494083.12179984484</v>
      </c>
      <c r="J96" s="116">
        <v>17296</v>
      </c>
      <c r="K96" s="116">
        <v>596813.0370370371</v>
      </c>
      <c r="L96" s="116">
        <v>22644</v>
      </c>
    </row>
    <row r="97" spans="2:12" ht="12.75" outlineLevel="1">
      <c r="B97" s="170" t="s">
        <v>221</v>
      </c>
      <c r="C97" s="176"/>
      <c r="D97" s="176"/>
      <c r="E97" s="116">
        <v>3691840</v>
      </c>
      <c r="F97" s="116">
        <v>0</v>
      </c>
      <c r="G97" s="116">
        <v>8702694.294645643</v>
      </c>
      <c r="H97" s="116">
        <v>136155581.49494952</v>
      </c>
      <c r="I97" s="116">
        <v>98509241.62736537</v>
      </c>
      <c r="J97" s="116">
        <v>2384588</v>
      </c>
      <c r="K97" s="116">
        <v>113637176.22941507</v>
      </c>
      <c r="L97" s="116">
        <v>4058235</v>
      </c>
    </row>
    <row r="98" spans="2:12" ht="12.75" outlineLevel="1">
      <c r="B98" s="170" t="s">
        <v>202</v>
      </c>
      <c r="C98" s="176"/>
      <c r="D98" s="176"/>
      <c r="E98" s="116">
        <v>1570396</v>
      </c>
      <c r="F98" s="116">
        <v>14728181.309929002</v>
      </c>
      <c r="G98" s="116">
        <v>5604928.27370202</v>
      </c>
      <c r="H98" s="116">
        <v>51776188.959595956</v>
      </c>
      <c r="I98" s="116">
        <v>38440243.81900317</v>
      </c>
      <c r="J98" s="116">
        <v>778875</v>
      </c>
      <c r="K98" s="116">
        <v>37168904.926657744</v>
      </c>
      <c r="L98" s="116">
        <v>2104270</v>
      </c>
    </row>
    <row r="99" spans="2:12" ht="12.75" outlineLevel="1">
      <c r="B99" s="170"/>
      <c r="C99" s="170"/>
      <c r="D99" s="170"/>
      <c r="E99" s="98"/>
      <c r="F99" s="98"/>
      <c r="G99" s="98"/>
      <c r="H99" s="98"/>
      <c r="I99" s="98"/>
      <c r="J99" s="98"/>
      <c r="K99" s="98"/>
      <c r="L99" s="98"/>
    </row>
    <row r="100" spans="2:12" ht="12.75" outlineLevel="1">
      <c r="B100" s="171" t="s">
        <v>506</v>
      </c>
      <c r="C100" s="170"/>
      <c r="D100" s="170"/>
      <c r="E100" s="98"/>
      <c r="F100" s="98"/>
      <c r="G100" s="98"/>
      <c r="H100" s="98"/>
      <c r="I100" s="98"/>
      <c r="J100" s="98"/>
      <c r="K100" s="98"/>
      <c r="L100" s="98"/>
    </row>
    <row r="101" spans="3:12" ht="12.75" outlineLevel="1">
      <c r="C101" s="170"/>
      <c r="D101" s="170"/>
      <c r="E101" s="98"/>
      <c r="F101" s="98"/>
      <c r="G101" s="98"/>
      <c r="H101" s="98"/>
      <c r="I101" s="98"/>
      <c r="J101" s="98"/>
      <c r="K101" s="98"/>
      <c r="L101" s="98"/>
    </row>
    <row r="102" spans="2:12" ht="12.75" outlineLevel="1">
      <c r="B102" s="172" t="s">
        <v>235</v>
      </c>
      <c r="C102" s="190"/>
      <c r="D102" s="190"/>
      <c r="E102" s="98"/>
      <c r="F102" s="98"/>
      <c r="G102" s="98"/>
      <c r="H102" s="98"/>
      <c r="I102" s="98"/>
      <c r="J102" s="98"/>
      <c r="K102" s="98"/>
      <c r="L102" s="98"/>
    </row>
    <row r="103" spans="2:12" ht="12.75" outlineLevel="1">
      <c r="B103" s="170" t="s">
        <v>236</v>
      </c>
      <c r="C103" s="191"/>
      <c r="D103" s="191"/>
      <c r="E103" s="38">
        <f>E96</f>
        <v>21440</v>
      </c>
      <c r="F103" s="38">
        <f aca="true" t="shared" si="0" ref="F103:L103">F96</f>
        <v>81115.33333333333</v>
      </c>
      <c r="G103" s="38">
        <f>G96</f>
        <v>40214.5</v>
      </c>
      <c r="H103" s="38">
        <f t="shared" si="0"/>
        <v>889401.0101010099</v>
      </c>
      <c r="I103" s="38">
        <f t="shared" si="0"/>
        <v>494083.12179984484</v>
      </c>
      <c r="J103" s="38">
        <f t="shared" si="0"/>
        <v>17296</v>
      </c>
      <c r="K103" s="38">
        <f>K96</f>
        <v>596813.0370370371</v>
      </c>
      <c r="L103" s="38">
        <f t="shared" si="0"/>
        <v>22644</v>
      </c>
    </row>
    <row r="104" spans="2:12" ht="12.75" outlineLevel="1">
      <c r="B104" s="170" t="s">
        <v>237</v>
      </c>
      <c r="C104" s="191"/>
      <c r="D104" s="191"/>
      <c r="E104" s="38">
        <f>E92+E87+E82+E76</f>
        <v>50624</v>
      </c>
      <c r="F104" s="38">
        <f aca="true" t="shared" si="1" ref="F104:L104">F92+F87+F82+F76</f>
        <v>195022.3766666667</v>
      </c>
      <c r="G104" s="38">
        <f>G92+G87+G82+G76</f>
        <v>99514.8263518253</v>
      </c>
      <c r="H104" s="38">
        <f>H92+H87+H82+H76</f>
        <v>2460809.764689746</v>
      </c>
      <c r="I104" s="38">
        <f t="shared" si="1"/>
        <v>2748619.929432317</v>
      </c>
      <c r="J104" s="38">
        <f t="shared" si="1"/>
        <v>30337.1</v>
      </c>
      <c r="K104" s="38">
        <f>K92+K87+K82+K76</f>
        <v>1869299.241111111</v>
      </c>
      <c r="L104" s="38">
        <f t="shared" si="1"/>
        <v>49686.66924567843</v>
      </c>
    </row>
    <row r="105" spans="2:12" ht="12.75" outlineLevel="1">
      <c r="B105" s="170"/>
      <c r="C105" s="191"/>
      <c r="D105" s="191"/>
      <c r="E105" s="98"/>
      <c r="F105" s="98"/>
      <c r="G105" s="98"/>
      <c r="H105" s="98"/>
      <c r="I105" s="98"/>
      <c r="J105" s="98"/>
      <c r="K105" s="98"/>
      <c r="L105" s="98"/>
    </row>
    <row r="106" spans="2:12" ht="12.75" outlineLevel="1">
      <c r="B106" s="172" t="s">
        <v>238</v>
      </c>
      <c r="C106" s="190"/>
      <c r="D106" s="190"/>
      <c r="E106" s="98"/>
      <c r="F106" s="98"/>
      <c r="G106" s="98"/>
      <c r="H106" s="98"/>
      <c r="I106" s="98"/>
      <c r="J106" s="98"/>
      <c r="K106" s="98"/>
      <c r="L106" s="98"/>
    </row>
    <row r="107" spans="2:12" ht="12.75" outlineLevel="1">
      <c r="B107" s="170" t="s">
        <v>239</v>
      </c>
      <c r="C107" s="191"/>
      <c r="D107" s="191"/>
      <c r="E107" s="139">
        <f>Volumes!E$7*E96</f>
        <v>21440</v>
      </c>
      <c r="F107" s="139">
        <f>Volumes!F$7*F96</f>
        <v>81115.33333333333</v>
      </c>
      <c r="G107" s="139">
        <f>Volumes!G$7*G96</f>
        <v>40214.5</v>
      </c>
      <c r="H107" s="139">
        <f>Volumes!H$7*H96</f>
        <v>889401.0101010099</v>
      </c>
      <c r="I107" s="139">
        <f>Volumes!I$7*I96</f>
        <v>494083.12179984484</v>
      </c>
      <c r="J107" s="139">
        <f>Volumes!J$7*J96</f>
        <v>17296</v>
      </c>
      <c r="K107" s="139">
        <f>Volumes!K$7*K96</f>
        <v>596813.0370370371</v>
      </c>
      <c r="L107" s="139">
        <f>Volumes!L$7*L96</f>
        <v>22644</v>
      </c>
    </row>
    <row r="108" spans="2:12" ht="12.75" outlineLevel="1">
      <c r="B108" s="170" t="s">
        <v>240</v>
      </c>
      <c r="C108" s="191"/>
      <c r="D108" s="191"/>
      <c r="E108" s="139">
        <f>Volumes!E$8*(E92+E87)</f>
        <v>49054</v>
      </c>
      <c r="F108" s="139">
        <f>Volumes!F$8*(F92+F87)</f>
        <v>187350.65083333338</v>
      </c>
      <c r="G108" s="139">
        <f>Volumes!G$8*(G92+G87)</f>
        <v>96533.3643791177</v>
      </c>
      <c r="H108" s="139">
        <f>Volumes!H$8*(H92+H87)</f>
        <v>2350125.8412932167</v>
      </c>
      <c r="I108" s="139">
        <f>Volumes!I$8*(I92+I87)</f>
        <v>2634329.007658373</v>
      </c>
      <c r="J108" s="139">
        <f>Volumes!J$8*(J92+J87)</f>
        <v>29252.6</v>
      </c>
      <c r="K108" s="139">
        <f>Volumes!K$8*(K92+K87)</f>
        <v>1800174.4633333331</v>
      </c>
      <c r="L108" s="139">
        <f>Volumes!L$8*(L92+L87)</f>
        <v>45328.271401941856</v>
      </c>
    </row>
    <row r="109" spans="2:12" ht="12.75" outlineLevel="1">
      <c r="B109" s="170" t="s">
        <v>241</v>
      </c>
      <c r="C109" s="191"/>
      <c r="D109" s="191"/>
      <c r="E109" s="139">
        <f>Volumes!E$9*(E82+E76)</f>
        <v>838</v>
      </c>
      <c r="F109" s="139">
        <f>Volumes!F$9*(F82+F76)</f>
        <v>3789.953333333333</v>
      </c>
      <c r="G109" s="139">
        <f>Volumes!G$9*(G82+G76)</f>
        <v>1157.1669976331443</v>
      </c>
      <c r="H109" s="139">
        <f>Volumes!H$9*(H82+H76)</f>
        <v>55920.71112334471</v>
      </c>
      <c r="I109" s="139">
        <f>Volumes!I$9*(I82+I76)</f>
        <v>54179.40124963086</v>
      </c>
      <c r="J109" s="139">
        <f>Volumes!J$9*(J82+J76)</f>
        <v>502.2</v>
      </c>
      <c r="K109" s="139">
        <f>Volumes!K$9*(K82+K76)</f>
        <v>36649.00000000001</v>
      </c>
      <c r="L109" s="139">
        <f>Volumes!L$9*(L82+L76)</f>
        <v>1756.669735859847</v>
      </c>
    </row>
    <row r="110" spans="2:12" ht="12.75" outlineLevel="1">
      <c r="B110" s="170" t="s">
        <v>242</v>
      </c>
      <c r="C110" s="191"/>
      <c r="D110" s="191"/>
      <c r="E110" s="139">
        <f>Volumes!E$10*(E82+E76)</f>
        <v>268</v>
      </c>
      <c r="F110" s="139">
        <f>Volumes!F$10*(F82+F76)</f>
        <v>1700.86</v>
      </c>
      <c r="G110" s="139">
        <f>Volumes!G$10*(G82+G76)</f>
        <v>604.3491797004533</v>
      </c>
      <c r="H110" s="139">
        <f>Volumes!H$10*(H82+H76)</f>
        <v>21899.90894508556</v>
      </c>
      <c r="I110" s="139">
        <f>Volumes!I$10*(I82+I76)</f>
        <v>22143.886435391527</v>
      </c>
      <c r="J110" s="139">
        <f>Volumes!J$10*(J82+J76)</f>
        <v>254.8</v>
      </c>
      <c r="K110" s="139">
        <f>Volumes!K$10*(K82+K76)</f>
        <v>11742</v>
      </c>
      <c r="L110" s="139">
        <f>Volumes!L$10*(L82+L76)</f>
        <v>1032.9443671125928</v>
      </c>
    </row>
    <row r="111" spans="2:12" ht="12.75" outlineLevel="1">
      <c r="B111" s="170" t="s">
        <v>243</v>
      </c>
      <c r="C111" s="191"/>
      <c r="D111" s="191"/>
      <c r="E111" s="139">
        <f>Volumes!E$11*(E82+E76)</f>
        <v>240</v>
      </c>
      <c r="F111" s="139">
        <f>Volumes!F$11*(F82+F76)</f>
        <v>1200.7825</v>
      </c>
      <c r="G111" s="139">
        <f>Volumes!G$11*(G82+G76)</f>
        <v>1114.7902044315697</v>
      </c>
      <c r="H111" s="139">
        <f>Volumes!H$11*(H82+H76)</f>
        <v>19967.534590218136</v>
      </c>
      <c r="I111" s="139">
        <f>Volumes!I$11*(I82+I76)</f>
        <v>21917.852752274946</v>
      </c>
      <c r="J111" s="139">
        <f>Volumes!J$11*(J82+J76)</f>
        <v>198.7</v>
      </c>
      <c r="K111" s="139">
        <f>Volumes!K$11*(K82+K76)</f>
        <v>13814</v>
      </c>
      <c r="L111" s="139">
        <f>Volumes!L$11*(L82+L76)</f>
        <v>869.3609177814822</v>
      </c>
    </row>
    <row r="112" spans="2:12" ht="12.75" outlineLevel="1">
      <c r="B112" s="170" t="s">
        <v>244</v>
      </c>
      <c r="C112" s="191"/>
      <c r="D112" s="191"/>
      <c r="E112" s="139">
        <f>Volumes!E$12*(E82+E76)</f>
        <v>224</v>
      </c>
      <c r="F112" s="139">
        <f>Volumes!F$12*(F82+F76)</f>
        <v>980.0466666666666</v>
      </c>
      <c r="G112" s="139">
        <f>Volumes!G$12*(G82+G76)</f>
        <v>105.15559094241469</v>
      </c>
      <c r="H112" s="139">
        <f>Volumes!H$12*(H82+H76)</f>
        <v>12895.845435591918</v>
      </c>
      <c r="I112" s="139">
        <f>Volumes!I$12*(I82+I76)</f>
        <v>16049.781336646682</v>
      </c>
      <c r="J112" s="139">
        <f>Volumes!J$12*(J82+J76)</f>
        <v>128.8</v>
      </c>
      <c r="K112" s="139">
        <f>Volumes!K$12*(K82+K76)</f>
        <v>6920</v>
      </c>
      <c r="L112" s="139">
        <f>Volumes!L$12*(L82+L76)</f>
        <v>699.42282298265</v>
      </c>
    </row>
    <row r="113" spans="2:12" ht="12.75" outlineLevel="1">
      <c r="B113" s="170" t="s">
        <v>247</v>
      </c>
      <c r="C113" s="192"/>
      <c r="D113" s="192"/>
      <c r="E113" s="98"/>
      <c r="F113" s="98"/>
      <c r="G113" s="98"/>
      <c r="H113" s="98"/>
      <c r="I113" s="98"/>
      <c r="J113" s="98"/>
      <c r="K113" s="98"/>
      <c r="L113" s="98"/>
    </row>
    <row r="114" spans="2:12" s="81" customFormat="1" ht="12.75" outlineLevel="1">
      <c r="B114" s="171" t="s">
        <v>227</v>
      </c>
      <c r="C114" s="171"/>
      <c r="D114" s="171"/>
      <c r="E114" s="98"/>
      <c r="F114" s="98"/>
      <c r="G114" s="98"/>
      <c r="H114" s="98"/>
      <c r="I114" s="98"/>
      <c r="J114" s="98"/>
      <c r="K114" s="98"/>
      <c r="L114" s="98"/>
    </row>
    <row r="115" spans="2:12" s="81" customFormat="1" ht="12.75" outlineLevel="1">
      <c r="B115" s="170" t="s">
        <v>247</v>
      </c>
      <c r="C115" s="170"/>
      <c r="D115" s="170"/>
      <c r="E115" s="98"/>
      <c r="F115" s="98"/>
      <c r="G115" s="98"/>
      <c r="H115" s="98"/>
      <c r="I115" s="98"/>
      <c r="J115" s="98"/>
      <c r="K115" s="98"/>
      <c r="L115" s="98"/>
    </row>
    <row r="116" spans="2:12" s="81" customFormat="1" ht="12.75" outlineLevel="1">
      <c r="B116" s="169" t="s">
        <v>348</v>
      </c>
      <c r="C116" s="193"/>
      <c r="D116" s="193"/>
      <c r="E116" s="116">
        <v>21440</v>
      </c>
      <c r="F116" s="116">
        <v>81115.33333333333</v>
      </c>
      <c r="G116" s="116">
        <v>40214.5</v>
      </c>
      <c r="H116" s="116">
        <v>889264</v>
      </c>
      <c r="I116" s="116">
        <v>713241</v>
      </c>
      <c r="J116" s="116">
        <v>17296</v>
      </c>
      <c r="K116" s="116">
        <v>734996</v>
      </c>
      <c r="L116" s="116">
        <v>22644</v>
      </c>
    </row>
    <row r="117" spans="2:12" s="81" customFormat="1" ht="12.75" outlineLevel="1">
      <c r="B117" s="169" t="s">
        <v>349</v>
      </c>
      <c r="C117" s="193"/>
      <c r="D117" s="193"/>
      <c r="E117" s="116">
        <v>49054</v>
      </c>
      <c r="F117" s="116">
        <v>187350.65083333338</v>
      </c>
      <c r="G117" s="116">
        <v>95165.14675916571</v>
      </c>
      <c r="H117" s="116">
        <v>2402350</v>
      </c>
      <c r="I117" s="116">
        <v>2635276.1929240916</v>
      </c>
      <c r="J117" s="116">
        <v>29252.6</v>
      </c>
      <c r="K117" s="116">
        <v>1801974</v>
      </c>
      <c r="L117" s="116">
        <v>45318.28727556596</v>
      </c>
    </row>
    <row r="118" spans="2:12" s="81" customFormat="1" ht="12.75" outlineLevel="1">
      <c r="B118" s="169" t="s">
        <v>350</v>
      </c>
      <c r="C118" s="193"/>
      <c r="D118" s="193"/>
      <c r="E118" s="116">
        <v>1570</v>
      </c>
      <c r="F118" s="116">
        <v>7671.725833333333</v>
      </c>
      <c r="G118" s="116">
        <v>2922.9804776196197</v>
      </c>
      <c r="H118" s="116">
        <v>65022</v>
      </c>
      <c r="I118" s="116">
        <v>111620.48324174319</v>
      </c>
      <c r="J118" s="116">
        <v>1084.5</v>
      </c>
      <c r="K118" s="116">
        <v>67577</v>
      </c>
      <c r="L118" s="116">
        <v>4410.18389831015</v>
      </c>
    </row>
    <row r="119" spans="2:12" s="81" customFormat="1" ht="12.75" outlineLevel="1">
      <c r="B119" s="169" t="s">
        <v>341</v>
      </c>
      <c r="C119" s="193"/>
      <c r="D119" s="193"/>
      <c r="E119" s="116">
        <v>496</v>
      </c>
      <c r="F119" s="116">
        <v>1679.1666666666667</v>
      </c>
      <c r="G119" s="116">
        <v>739.7711606757068</v>
      </c>
      <c r="H119" s="116">
        <v>31863</v>
      </c>
      <c r="I119" s="116">
        <v>12021</v>
      </c>
      <c r="J119" s="116">
        <v>215.3</v>
      </c>
      <c r="K119" s="116">
        <v>11163.7</v>
      </c>
      <c r="L119" s="116">
        <v>1042.4709068437282</v>
      </c>
    </row>
    <row r="120" spans="2:12" s="81" customFormat="1" ht="12.75" outlineLevel="1">
      <c r="B120" s="169" t="s">
        <v>343</v>
      </c>
      <c r="C120" s="193"/>
      <c r="D120" s="193"/>
      <c r="E120" s="116">
        <v>31</v>
      </c>
      <c r="F120" s="116">
        <v>315.25</v>
      </c>
      <c r="G120" s="116">
        <v>588</v>
      </c>
      <c r="H120" s="116">
        <v>8639</v>
      </c>
      <c r="I120" s="116">
        <v>11818</v>
      </c>
      <c r="J120" s="116">
        <v>20</v>
      </c>
      <c r="K120" s="116">
        <v>7842.9</v>
      </c>
      <c r="L120" s="116">
        <v>340.68443398765623</v>
      </c>
    </row>
    <row r="121" spans="2:12" s="81" customFormat="1" ht="12.75" outlineLevel="1">
      <c r="B121" s="169" t="s">
        <v>345</v>
      </c>
      <c r="C121" s="193"/>
      <c r="D121" s="193"/>
      <c r="E121" s="116">
        <v>0</v>
      </c>
      <c r="F121" s="116">
        <v>25.4166666666667</v>
      </c>
      <c r="G121" s="116">
        <v>5</v>
      </c>
      <c r="H121" s="116">
        <v>1276</v>
      </c>
      <c r="I121" s="116">
        <v>165</v>
      </c>
      <c r="J121" s="116">
        <v>0</v>
      </c>
      <c r="K121" s="116">
        <v>130</v>
      </c>
      <c r="L121" s="116">
        <v>16.858060927577267</v>
      </c>
    </row>
    <row r="122" spans="2:12" s="81" customFormat="1" ht="12.75" outlineLevel="1">
      <c r="B122" s="170"/>
      <c r="C122" s="170"/>
      <c r="D122" s="170"/>
      <c r="E122" s="98"/>
      <c r="F122" s="98"/>
      <c r="G122" s="98"/>
      <c r="H122" s="98"/>
      <c r="I122" s="98"/>
      <c r="J122" s="98"/>
      <c r="K122" s="98"/>
      <c r="L122" s="98"/>
    </row>
    <row r="123" spans="2:12" s="81" customFormat="1" ht="12.75" outlineLevel="1">
      <c r="B123" s="170" t="s">
        <v>230</v>
      </c>
      <c r="C123" s="170"/>
      <c r="D123" s="170"/>
      <c r="E123" s="116">
        <v>0</v>
      </c>
      <c r="F123" s="116">
        <v>104124</v>
      </c>
      <c r="G123" s="116">
        <v>0</v>
      </c>
      <c r="H123" s="116">
        <v>0</v>
      </c>
      <c r="I123" s="116">
        <v>532006</v>
      </c>
      <c r="J123" s="116">
        <v>5615</v>
      </c>
      <c r="K123" s="116">
        <v>253202</v>
      </c>
      <c r="L123" s="116">
        <v>1533.3333333333333</v>
      </c>
    </row>
    <row r="124" spans="5:12" ht="12.75">
      <c r="E124" s="194"/>
      <c r="F124" s="194"/>
      <c r="G124" s="194"/>
      <c r="H124" s="194"/>
      <c r="I124" s="194"/>
      <c r="J124" s="194"/>
      <c r="K124" s="194"/>
      <c r="L124" s="194"/>
    </row>
    <row r="125" spans="5:12" ht="12.75">
      <c r="E125" s="194"/>
      <c r="F125" s="194"/>
      <c r="G125" s="194"/>
      <c r="H125" s="194"/>
      <c r="I125" s="194"/>
      <c r="J125" s="194"/>
      <c r="K125" s="194"/>
      <c r="L125" s="194"/>
    </row>
    <row r="126" spans="2:12" s="5" customFormat="1" ht="12.75">
      <c r="B126" s="6" t="s">
        <v>234</v>
      </c>
      <c r="C126" s="6"/>
      <c r="D126" s="6"/>
      <c r="E126" s="197"/>
      <c r="F126" s="197"/>
      <c r="G126" s="197"/>
      <c r="H126" s="197"/>
      <c r="I126" s="197"/>
      <c r="J126" s="197"/>
      <c r="K126" s="197"/>
      <c r="L126" s="197"/>
    </row>
    <row r="127" spans="2:12" ht="12.75" outlineLevel="1">
      <c r="B127" s="290" t="s">
        <v>250</v>
      </c>
      <c r="C127" s="188"/>
      <c r="D127" s="188"/>
      <c r="E127" s="194"/>
      <c r="F127" s="194"/>
      <c r="G127" s="194"/>
      <c r="H127" s="194"/>
      <c r="I127" s="194"/>
      <c r="J127" s="194"/>
      <c r="K127" s="194"/>
      <c r="L127" s="194"/>
    </row>
    <row r="128" spans="5:12" ht="12.75" outlineLevel="1">
      <c r="E128" s="194"/>
      <c r="F128" s="194"/>
      <c r="G128" s="194"/>
      <c r="H128" s="194"/>
      <c r="I128" s="194"/>
      <c r="J128" s="194"/>
      <c r="K128" s="194"/>
      <c r="L128" s="194"/>
    </row>
    <row r="129" spans="2:12" ht="12.75" outlineLevel="1">
      <c r="B129" s="279" t="s">
        <v>504</v>
      </c>
      <c r="C129" s="170"/>
      <c r="D129" s="170"/>
      <c r="E129" s="194"/>
      <c r="F129" s="194"/>
      <c r="G129" s="194"/>
      <c r="H129" s="194"/>
      <c r="I129" s="194"/>
      <c r="J129" s="194"/>
      <c r="K129" s="194"/>
      <c r="L129" s="194"/>
    </row>
    <row r="130" spans="2:12" ht="12.75" outlineLevel="1">
      <c r="B130" s="43"/>
      <c r="C130" s="170"/>
      <c r="D130" s="170"/>
      <c r="E130" s="194"/>
      <c r="F130" s="194"/>
      <c r="G130" s="194"/>
      <c r="H130" s="194"/>
      <c r="I130" s="194"/>
      <c r="J130" s="194"/>
      <c r="K130" s="194"/>
      <c r="L130" s="194"/>
    </row>
    <row r="131" spans="2:12" ht="12.75" outlineLevel="1">
      <c r="B131" s="172" t="s">
        <v>198</v>
      </c>
      <c r="C131" s="170"/>
      <c r="D131" s="170"/>
      <c r="E131" s="194"/>
      <c r="F131" s="194"/>
      <c r="G131" s="194"/>
      <c r="H131" s="194"/>
      <c r="I131" s="194"/>
      <c r="J131" s="194"/>
      <c r="K131" s="194"/>
      <c r="L131" s="194"/>
    </row>
    <row r="132" spans="2:12" ht="12.75" outlineLevel="1">
      <c r="B132" s="170" t="s">
        <v>199</v>
      </c>
      <c r="C132" s="170"/>
      <c r="D132" s="170"/>
      <c r="E132" s="590">
        <f>Volumes!E383</f>
        <v>0</v>
      </c>
      <c r="F132" s="590">
        <f>Volumes!F383</f>
        <v>0</v>
      </c>
      <c r="G132" s="590">
        <f>Volumes!G383</f>
        <v>0</v>
      </c>
      <c r="H132" s="590">
        <f>Volumes!H383</f>
        <v>0</v>
      </c>
      <c r="I132" s="590">
        <f>Volumes!I383</f>
        <v>8</v>
      </c>
      <c r="J132" s="590">
        <f>Volumes!J383</f>
        <v>0</v>
      </c>
      <c r="K132" s="590">
        <f>Volumes!K383</f>
        <v>2</v>
      </c>
      <c r="L132" s="590">
        <f>Volumes!L383</f>
        <v>0</v>
      </c>
    </row>
    <row r="133" spans="2:12" ht="12.75" outlineLevel="1">
      <c r="B133" s="170" t="s">
        <v>200</v>
      </c>
      <c r="C133" s="170"/>
      <c r="D133" s="170"/>
      <c r="E133" s="590">
        <f>Volumes!E384</f>
        <v>0</v>
      </c>
      <c r="F133" s="590">
        <f>Volumes!F384</f>
        <v>0</v>
      </c>
      <c r="G133" s="590">
        <f>Volumes!G384</f>
        <v>0</v>
      </c>
      <c r="H133" s="590">
        <f>Volumes!H384</f>
        <v>0</v>
      </c>
      <c r="I133" s="590">
        <f>Volumes!I384</f>
        <v>8025</v>
      </c>
      <c r="J133" s="590">
        <f>Volumes!J384</f>
        <v>0</v>
      </c>
      <c r="K133" s="590">
        <f>Volumes!K384</f>
        <v>268263.87918015104</v>
      </c>
      <c r="L133" s="590">
        <f>Volumes!L384</f>
        <v>0</v>
      </c>
    </row>
    <row r="134" spans="2:12" ht="12.75" outlineLevel="1">
      <c r="B134" s="170" t="s">
        <v>201</v>
      </c>
      <c r="C134" s="170"/>
      <c r="D134" s="170"/>
      <c r="E134" s="590">
        <f>Volumes!E385</f>
        <v>0</v>
      </c>
      <c r="F134" s="590">
        <f>Volumes!F385</f>
        <v>0</v>
      </c>
      <c r="G134" s="590">
        <f>Volumes!G385</f>
        <v>0</v>
      </c>
      <c r="H134" s="590">
        <f>Volumes!H385</f>
        <v>0</v>
      </c>
      <c r="I134" s="590">
        <f>Volumes!I385</f>
        <v>53876.57142857143</v>
      </c>
      <c r="J134" s="590">
        <f>Volumes!J385</f>
        <v>0</v>
      </c>
      <c r="K134" s="590">
        <f>Volumes!K385</f>
        <v>2714118.623655914</v>
      </c>
      <c r="L134" s="590">
        <f>Volumes!L385</f>
        <v>0</v>
      </c>
    </row>
    <row r="135" spans="2:12" ht="12.75" outlineLevel="1">
      <c r="B135" s="170" t="s">
        <v>203</v>
      </c>
      <c r="C135" s="170"/>
      <c r="D135" s="170"/>
      <c r="E135" s="600">
        <f>Volumes!E386</f>
        <v>0</v>
      </c>
      <c r="F135" s="600">
        <f>Volumes!F386</f>
        <v>0</v>
      </c>
      <c r="G135" s="600">
        <f>Volumes!G386</f>
        <v>0</v>
      </c>
      <c r="H135" s="600">
        <f>Volumes!H386</f>
        <v>0</v>
      </c>
      <c r="I135" s="600">
        <f>Volumes!I386</f>
        <v>0</v>
      </c>
      <c r="J135" s="600">
        <f>Volumes!J386</f>
        <v>0</v>
      </c>
      <c r="K135" s="600">
        <f>Volumes!K386</f>
        <v>0</v>
      </c>
      <c r="L135" s="600">
        <f>Volumes!L386</f>
        <v>0</v>
      </c>
    </row>
    <row r="136" spans="2:12" ht="12.75" outlineLevel="1">
      <c r="B136" s="170" t="s">
        <v>247</v>
      </c>
      <c r="C136" s="170"/>
      <c r="D136" s="170"/>
      <c r="E136" s="98"/>
      <c r="F136" s="98"/>
      <c r="G136" s="98"/>
      <c r="H136" s="98"/>
      <c r="I136" s="98"/>
      <c r="J136" s="98"/>
      <c r="K136" s="98"/>
      <c r="L136" s="98"/>
    </row>
    <row r="137" spans="2:12" ht="12.75" outlineLevel="1">
      <c r="B137" s="172" t="s">
        <v>204</v>
      </c>
      <c r="C137" s="170"/>
      <c r="D137" s="170"/>
      <c r="E137" s="98"/>
      <c r="F137" s="98"/>
      <c r="G137" s="98"/>
      <c r="H137" s="98"/>
      <c r="I137" s="98"/>
      <c r="J137" s="98"/>
      <c r="K137" s="98"/>
      <c r="L137" s="98"/>
    </row>
    <row r="138" spans="2:12" ht="12.75" outlineLevel="1">
      <c r="B138" s="170" t="s">
        <v>199</v>
      </c>
      <c r="C138" s="170"/>
      <c r="D138" s="170"/>
      <c r="E138" s="590">
        <f>Volumes!E389</f>
        <v>0</v>
      </c>
      <c r="F138" s="590">
        <f>Volumes!F389</f>
        <v>0</v>
      </c>
      <c r="G138" s="590">
        <f>Volumes!G389</f>
        <v>0</v>
      </c>
      <c r="H138" s="590">
        <f>Volumes!H389</f>
        <v>0</v>
      </c>
      <c r="I138" s="590">
        <f>Volumes!I389</f>
        <v>0</v>
      </c>
      <c r="J138" s="590">
        <f>Volumes!J389</f>
        <v>0</v>
      </c>
      <c r="K138" s="590">
        <f>Volumes!K389</f>
        <v>5.992166666666667</v>
      </c>
      <c r="L138" s="590">
        <f>Volumes!L389</f>
        <v>0</v>
      </c>
    </row>
    <row r="139" spans="2:12" ht="12.75" outlineLevel="1">
      <c r="B139" s="170" t="s">
        <v>200</v>
      </c>
      <c r="C139" s="170"/>
      <c r="D139" s="170"/>
      <c r="E139" s="590">
        <f>Volumes!E390</f>
        <v>0</v>
      </c>
      <c r="F139" s="590">
        <f>Volumes!F390</f>
        <v>0</v>
      </c>
      <c r="G139" s="590">
        <f>Volumes!G390</f>
        <v>0</v>
      </c>
      <c r="H139" s="590">
        <f>Volumes!H390</f>
        <v>0</v>
      </c>
      <c r="I139" s="590">
        <f>Volumes!I390</f>
        <v>0</v>
      </c>
      <c r="J139" s="590">
        <f>Volumes!J390</f>
        <v>0</v>
      </c>
      <c r="K139" s="590">
        <f>Volumes!K390</f>
        <v>26234.713362068967</v>
      </c>
      <c r="L139" s="590">
        <f>Volumes!L390</f>
        <v>0</v>
      </c>
    </row>
    <row r="140" spans="2:12" ht="12.75" outlineLevel="1">
      <c r="B140" s="170" t="s">
        <v>205</v>
      </c>
      <c r="C140" s="170"/>
      <c r="D140" s="170"/>
      <c r="E140" s="590">
        <f>Volumes!E391</f>
        <v>0</v>
      </c>
      <c r="F140" s="590">
        <f>Volumes!F391</f>
        <v>0</v>
      </c>
      <c r="G140" s="590">
        <f>Volumes!G391</f>
        <v>0</v>
      </c>
      <c r="H140" s="590">
        <f>Volumes!H391</f>
        <v>0</v>
      </c>
      <c r="I140" s="590">
        <f>Volumes!I391</f>
        <v>0</v>
      </c>
      <c r="J140" s="590">
        <f>Volumes!J391</f>
        <v>0</v>
      </c>
      <c r="K140" s="590">
        <f>Volumes!K391</f>
        <v>118160.5</v>
      </c>
      <c r="L140" s="590">
        <f>Volumes!L391</f>
        <v>0</v>
      </c>
    </row>
    <row r="141" spans="2:12" ht="12.75" outlineLevel="1">
      <c r="B141" s="170" t="s">
        <v>203</v>
      </c>
      <c r="C141" s="170"/>
      <c r="D141" s="170"/>
      <c r="E141" s="600">
        <f>Volumes!E392</f>
        <v>0</v>
      </c>
      <c r="F141" s="600">
        <f>Volumes!F392</f>
        <v>0</v>
      </c>
      <c r="G141" s="600">
        <f>Volumes!G392</f>
        <v>0</v>
      </c>
      <c r="H141" s="600">
        <f>Volumes!H392</f>
        <v>0</v>
      </c>
      <c r="I141" s="600">
        <f>Volumes!I392</f>
        <v>0</v>
      </c>
      <c r="J141" s="600">
        <f>Volumes!J392</f>
        <v>0</v>
      </c>
      <c r="K141" s="600">
        <f>Volumes!K392</f>
        <v>4504166.666666667</v>
      </c>
      <c r="L141" s="600">
        <f>Volumes!L392</f>
        <v>0</v>
      </c>
    </row>
    <row r="142" spans="2:12" ht="12.75" outlineLevel="1">
      <c r="B142" s="170" t="s">
        <v>247</v>
      </c>
      <c r="C142" s="170"/>
      <c r="D142" s="170"/>
      <c r="E142" s="98"/>
      <c r="F142" s="98"/>
      <c r="G142" s="98"/>
      <c r="H142" s="98"/>
      <c r="I142" s="98"/>
      <c r="J142" s="98"/>
      <c r="K142" s="98"/>
      <c r="L142" s="98"/>
    </row>
    <row r="143" spans="2:12" ht="12.75" outlineLevel="1">
      <c r="B143" s="172" t="s">
        <v>206</v>
      </c>
      <c r="C143" s="170"/>
      <c r="D143" s="170"/>
      <c r="E143" s="98"/>
      <c r="F143" s="98"/>
      <c r="G143" s="98"/>
      <c r="H143" s="98"/>
      <c r="I143" s="98"/>
      <c r="J143" s="98"/>
      <c r="K143" s="98"/>
      <c r="L143" s="98"/>
    </row>
    <row r="144" spans="2:12" ht="12.75" outlineLevel="1">
      <c r="B144" s="170" t="s">
        <v>199</v>
      </c>
      <c r="C144" s="170"/>
      <c r="D144" s="170"/>
      <c r="E144" s="590">
        <f>Volumes!E395</f>
        <v>0</v>
      </c>
      <c r="F144" s="590">
        <f>Volumes!F395</f>
        <v>1.0833333333333333</v>
      </c>
      <c r="G144" s="590">
        <f>Volumes!G395</f>
        <v>0</v>
      </c>
      <c r="H144" s="590">
        <f>Volumes!H395</f>
        <v>3</v>
      </c>
      <c r="I144" s="590">
        <f>Volumes!I395</f>
        <v>12.47360623297899</v>
      </c>
      <c r="J144" s="590">
        <f>Volumes!J395</f>
        <v>0</v>
      </c>
      <c r="K144" s="590">
        <f>Volumes!K395</f>
        <v>65.51085869565217</v>
      </c>
      <c r="L144" s="590">
        <f>Volumes!L395</f>
        <v>0</v>
      </c>
    </row>
    <row r="145" spans="2:12" ht="12.75" outlineLevel="1">
      <c r="B145" s="170" t="s">
        <v>200</v>
      </c>
      <c r="C145" s="170"/>
      <c r="D145" s="170"/>
      <c r="E145" s="590">
        <f>Volumes!E396</f>
        <v>0</v>
      </c>
      <c r="F145" s="590">
        <f>Volumes!F396</f>
        <v>22019</v>
      </c>
      <c r="G145" s="590">
        <f>Volumes!G396</f>
        <v>0</v>
      </c>
      <c r="H145" s="590">
        <f>Volumes!H396</f>
        <v>54378.22518765638</v>
      </c>
      <c r="I145" s="590">
        <f>Volumes!I396</f>
        <v>115955.89874325563</v>
      </c>
      <c r="J145" s="590">
        <f>Volumes!J396</f>
        <v>0</v>
      </c>
      <c r="K145" s="590">
        <f>Volumes!K396</f>
        <v>669129.5859580053</v>
      </c>
      <c r="L145" s="590">
        <f>Volumes!L396</f>
        <v>0</v>
      </c>
    </row>
    <row r="146" spans="2:12" ht="12.75" outlineLevel="1">
      <c r="B146" s="170" t="s">
        <v>201</v>
      </c>
      <c r="C146" s="170"/>
      <c r="D146" s="170"/>
      <c r="E146" s="590">
        <f>Volumes!E397</f>
        <v>0</v>
      </c>
      <c r="F146" s="590">
        <f>Volumes!F397</f>
        <v>196972</v>
      </c>
      <c r="G146" s="590">
        <f>Volumes!G397</f>
        <v>0</v>
      </c>
      <c r="H146" s="590">
        <f>Volumes!H397</f>
        <v>347301.9834710744</v>
      </c>
      <c r="I146" s="590">
        <f>Volumes!I397</f>
        <v>1142836.7055135295</v>
      </c>
      <c r="J146" s="590">
        <f>Volumes!J397</f>
        <v>0</v>
      </c>
      <c r="K146" s="590">
        <f>Volumes!K397</f>
        <v>5991881.858823529</v>
      </c>
      <c r="L146" s="590">
        <f>Volumes!L397</f>
        <v>0</v>
      </c>
    </row>
    <row r="147" spans="2:12" ht="12.75" outlineLevel="1">
      <c r="B147" s="170" t="s">
        <v>203</v>
      </c>
      <c r="C147" s="170"/>
      <c r="D147" s="170"/>
      <c r="E147" s="600">
        <f>Volumes!E398</f>
        <v>0</v>
      </c>
      <c r="F147" s="600">
        <f>Volumes!F398</f>
        <v>0</v>
      </c>
      <c r="G147" s="600">
        <f>Volumes!G398</f>
        <v>0</v>
      </c>
      <c r="H147" s="600">
        <f>Volumes!H398</f>
        <v>6272967.2727272725</v>
      </c>
      <c r="I147" s="600">
        <f>Volumes!I398</f>
        <v>0</v>
      </c>
      <c r="J147" s="600">
        <f>Volumes!J398</f>
        <v>0</v>
      </c>
      <c r="K147" s="601">
        <f>Volumes!K398</f>
        <v>4085476.666666666</v>
      </c>
      <c r="L147" s="600">
        <f>Volumes!L398</f>
        <v>0</v>
      </c>
    </row>
    <row r="148" spans="2:12" ht="12.75" outlineLevel="1">
      <c r="B148" s="170" t="s">
        <v>247</v>
      </c>
      <c r="C148" s="170"/>
      <c r="D148" s="170"/>
      <c r="E148" s="98"/>
      <c r="F148" s="98"/>
      <c r="G148" s="98"/>
      <c r="H148" s="98"/>
      <c r="I148" s="98"/>
      <c r="J148" s="98"/>
      <c r="K148" s="98"/>
      <c r="L148" s="98"/>
    </row>
    <row r="149" spans="2:12" ht="12.75" outlineLevel="1">
      <c r="B149" s="172" t="s">
        <v>207</v>
      </c>
      <c r="C149" s="170"/>
      <c r="D149" s="170"/>
      <c r="E149" s="98"/>
      <c r="F149" s="98"/>
      <c r="G149" s="98"/>
      <c r="H149" s="98"/>
      <c r="I149" s="98"/>
      <c r="J149" s="98"/>
      <c r="K149" s="98"/>
      <c r="L149" s="98"/>
    </row>
    <row r="150" spans="2:12" ht="12.75" outlineLevel="1">
      <c r="B150" s="170" t="s">
        <v>199</v>
      </c>
      <c r="C150" s="170"/>
      <c r="D150" s="170"/>
      <c r="E150" s="590">
        <f>Volumes!E401</f>
        <v>0</v>
      </c>
      <c r="F150" s="590">
        <f>Volumes!F401</f>
        <v>0</v>
      </c>
      <c r="G150" s="590">
        <f>Volumes!G401</f>
        <v>0</v>
      </c>
      <c r="H150" s="590">
        <f>Volumes!H401</f>
        <v>1</v>
      </c>
      <c r="I150" s="590">
        <f>Volumes!I401</f>
        <v>12</v>
      </c>
      <c r="J150" s="590">
        <f>Volumes!J401</f>
        <v>0</v>
      </c>
      <c r="K150" s="590">
        <f>Volumes!K401</f>
        <v>8.15757608695652</v>
      </c>
      <c r="L150" s="590">
        <f>Volumes!L401</f>
        <v>0</v>
      </c>
    </row>
    <row r="151" spans="2:12" ht="12.75" outlineLevel="1">
      <c r="B151" s="170" t="s">
        <v>200</v>
      </c>
      <c r="C151" s="170"/>
      <c r="D151" s="170"/>
      <c r="E151" s="590">
        <f>Volumes!E402</f>
        <v>0</v>
      </c>
      <c r="F151" s="590">
        <f>Volumes!F402</f>
        <v>0</v>
      </c>
      <c r="G151" s="590">
        <f>Volumes!G402</f>
        <v>0</v>
      </c>
      <c r="H151" s="590">
        <f>Volumes!H402</f>
        <v>5072</v>
      </c>
      <c r="I151" s="590">
        <f>Volumes!I402</f>
        <v>69147.5</v>
      </c>
      <c r="J151" s="590">
        <f>Volumes!J402</f>
        <v>0</v>
      </c>
      <c r="K151" s="590">
        <f>Volumes!K402</f>
        <v>186411.87401574804</v>
      </c>
      <c r="L151" s="590">
        <f>Volumes!L402</f>
        <v>0</v>
      </c>
    </row>
    <row r="152" spans="2:12" ht="12.75" outlineLevel="1">
      <c r="B152" s="170" t="s">
        <v>205</v>
      </c>
      <c r="C152" s="170"/>
      <c r="D152" s="170"/>
      <c r="E152" s="590">
        <f>Volumes!E403</f>
        <v>0</v>
      </c>
      <c r="F152" s="590">
        <f>Volumes!F403</f>
        <v>0</v>
      </c>
      <c r="G152" s="590">
        <f>Volumes!G403</f>
        <v>0</v>
      </c>
      <c r="H152" s="590">
        <f>Volumes!H403</f>
        <v>35083.63636363636</v>
      </c>
      <c r="I152" s="590">
        <f>Volumes!I403</f>
        <v>1017475</v>
      </c>
      <c r="J152" s="590">
        <f>Volumes!J403</f>
        <v>0</v>
      </c>
      <c r="K152" s="590">
        <f>Volumes!K403</f>
        <v>803503.0508474576</v>
      </c>
      <c r="L152" s="590">
        <f>Volumes!L403</f>
        <v>0</v>
      </c>
    </row>
    <row r="153" spans="2:12" ht="12.75" outlineLevel="1">
      <c r="B153" s="170" t="s">
        <v>203</v>
      </c>
      <c r="C153" s="170"/>
      <c r="D153" s="170"/>
      <c r="E153" s="600">
        <f>Volumes!E404</f>
        <v>0</v>
      </c>
      <c r="F153" s="600">
        <f>Volumes!F404</f>
        <v>0</v>
      </c>
      <c r="G153" s="600">
        <f>Volumes!G404</f>
        <v>0</v>
      </c>
      <c r="H153" s="600">
        <f>Volumes!H404</f>
        <v>1381912.7272727273</v>
      </c>
      <c r="I153" s="600">
        <f>Volumes!I404</f>
        <v>0</v>
      </c>
      <c r="J153" s="600">
        <f>Volumes!J404</f>
        <v>0</v>
      </c>
      <c r="K153" s="601">
        <f>Volumes!K404</f>
        <v>-25968.333333333332</v>
      </c>
      <c r="L153" s="600">
        <f>Volumes!L404</f>
        <v>0</v>
      </c>
    </row>
    <row r="154" spans="2:12" ht="12.75" outlineLevel="1">
      <c r="B154" s="170" t="s">
        <v>247</v>
      </c>
      <c r="C154" s="170"/>
      <c r="D154" s="170"/>
      <c r="E154" s="98"/>
      <c r="F154" s="98"/>
      <c r="G154" s="98"/>
      <c r="H154" s="98"/>
      <c r="I154" s="98"/>
      <c r="J154" s="98"/>
      <c r="K154" s="98"/>
      <c r="L154" s="98"/>
    </row>
    <row r="155" spans="2:12" ht="12.75" outlineLevel="1">
      <c r="B155" s="172" t="s">
        <v>208</v>
      </c>
      <c r="C155" s="170"/>
      <c r="D155" s="170"/>
      <c r="E155" s="98"/>
      <c r="F155" s="98"/>
      <c r="G155" s="98"/>
      <c r="H155" s="98"/>
      <c r="I155" s="98"/>
      <c r="J155" s="98"/>
      <c r="K155" s="98"/>
      <c r="L155" s="98"/>
    </row>
    <row r="156" spans="2:12" ht="12.75" outlineLevel="1">
      <c r="B156" s="170" t="s">
        <v>199</v>
      </c>
      <c r="C156" s="170"/>
      <c r="D156" s="170"/>
      <c r="E156" s="590">
        <f>Volumes!E407</f>
        <v>0</v>
      </c>
      <c r="F156" s="590">
        <f>Volumes!F407</f>
        <v>42</v>
      </c>
      <c r="G156" s="590">
        <f>Volumes!G407</f>
        <v>0.9966573009020964</v>
      </c>
      <c r="H156" s="590">
        <f>Volumes!H407</f>
        <v>177.25550197628456</v>
      </c>
      <c r="I156" s="590">
        <f>Volumes!I407</f>
        <v>296.3417823641036</v>
      </c>
      <c r="J156" s="590">
        <f>Volumes!J407</f>
        <v>0</v>
      </c>
      <c r="K156" s="590">
        <f>Volumes!K407</f>
        <v>107.25830072463766</v>
      </c>
      <c r="L156" s="590">
        <f>Volumes!L407</f>
        <v>1.1166666666666667</v>
      </c>
    </row>
    <row r="157" spans="2:12" ht="12.75" outlineLevel="1">
      <c r="B157" s="170" t="s">
        <v>200</v>
      </c>
      <c r="C157" s="170"/>
      <c r="D157" s="170"/>
      <c r="E157" s="590">
        <f>Volumes!E408</f>
        <v>0</v>
      </c>
      <c r="F157" s="590">
        <f>Volumes!F408</f>
        <v>74330.16666666666</v>
      </c>
      <c r="G157" s="590">
        <f>Volumes!G408</f>
        <v>14935.6968584645</v>
      </c>
      <c r="H157" s="590">
        <f>Volumes!H408</f>
        <v>1316544.5550110263</v>
      </c>
      <c r="I157" s="590">
        <f>Volumes!I408</f>
        <v>1023162.8864346296</v>
      </c>
      <c r="J157" s="590">
        <f>Volumes!J408</f>
        <v>0</v>
      </c>
      <c r="K157" s="590">
        <f>Volumes!K408</f>
        <v>411324.42055555555</v>
      </c>
      <c r="L157" s="590">
        <f>Volumes!L408</f>
        <v>18335.333333333332</v>
      </c>
    </row>
    <row r="158" spans="2:12" ht="12.75" outlineLevel="1">
      <c r="B158" s="170" t="s">
        <v>201</v>
      </c>
      <c r="C158" s="170"/>
      <c r="D158" s="170"/>
      <c r="E158" s="590">
        <f>Volumes!E409</f>
        <v>0</v>
      </c>
      <c r="F158" s="590">
        <f>Volumes!F409</f>
        <v>435330.8571428571</v>
      </c>
      <c r="G158" s="590">
        <f>Volumes!G409</f>
        <v>161377.4927345636</v>
      </c>
      <c r="H158" s="590">
        <f>Volumes!H409</f>
        <v>13085783.290161889</v>
      </c>
      <c r="I158" s="590">
        <f>Volumes!I409</f>
        <v>9580235.367711445</v>
      </c>
      <c r="J158" s="590">
        <f>Volumes!J409</f>
        <v>0</v>
      </c>
      <c r="K158" s="590">
        <f>Volumes!K409</f>
        <v>3717480.7754010702</v>
      </c>
      <c r="L158" s="590">
        <f>Volumes!L409</f>
        <v>178391.2015503876</v>
      </c>
    </row>
    <row r="159" spans="2:12" ht="12.75" outlineLevel="1">
      <c r="B159" s="170" t="s">
        <v>203</v>
      </c>
      <c r="C159" s="170"/>
      <c r="D159" s="170"/>
      <c r="E159" s="600">
        <f>Volumes!E410</f>
        <v>0</v>
      </c>
      <c r="F159" s="600">
        <f>Volumes!F410</f>
        <v>0</v>
      </c>
      <c r="G159" s="600">
        <f>Volumes!G410</f>
        <v>0</v>
      </c>
      <c r="H159" s="600">
        <f>Volumes!H410</f>
        <v>46422245.45454545</v>
      </c>
      <c r="I159" s="600">
        <f>Volumes!I410</f>
        <v>0</v>
      </c>
      <c r="J159" s="600">
        <f>Volumes!J410</f>
        <v>0</v>
      </c>
      <c r="K159" s="600">
        <f>Volumes!K410</f>
        <v>12443976.666666666</v>
      </c>
      <c r="L159" s="600">
        <f>Volumes!L410</f>
        <v>0</v>
      </c>
    </row>
    <row r="160" spans="2:12" ht="12.75" outlineLevel="1">
      <c r="B160" s="170" t="s">
        <v>247</v>
      </c>
      <c r="C160" s="170"/>
      <c r="D160" s="170"/>
      <c r="E160" s="98"/>
      <c r="F160" s="98"/>
      <c r="G160" s="98"/>
      <c r="H160" s="98"/>
      <c r="I160" s="98"/>
      <c r="J160" s="98"/>
      <c r="K160" s="98"/>
      <c r="L160" s="98"/>
    </row>
    <row r="161" spans="2:12" ht="12.75" outlineLevel="1">
      <c r="B161" s="172" t="s">
        <v>209</v>
      </c>
      <c r="C161" s="170"/>
      <c r="D161" s="170"/>
      <c r="E161" s="98"/>
      <c r="F161" s="98"/>
      <c r="G161" s="98"/>
      <c r="H161" s="98"/>
      <c r="I161" s="98"/>
      <c r="J161" s="98"/>
      <c r="K161" s="98"/>
      <c r="L161" s="98"/>
    </row>
    <row r="162" spans="2:12" ht="12.75" outlineLevel="1">
      <c r="B162" s="170" t="s">
        <v>199</v>
      </c>
      <c r="C162" s="170"/>
      <c r="D162" s="170"/>
      <c r="E162" s="590">
        <f>Volumes!E413</f>
        <v>0</v>
      </c>
      <c r="F162" s="590">
        <f>Volumes!F413</f>
        <v>1</v>
      </c>
      <c r="G162" s="590">
        <f>Volumes!G413</f>
        <v>0</v>
      </c>
      <c r="H162" s="590">
        <f>Volumes!H413</f>
        <v>12.818181818181818</v>
      </c>
      <c r="I162" s="590">
        <f>Volumes!I413</f>
        <v>13.5</v>
      </c>
      <c r="J162" s="590">
        <f>Volumes!J413</f>
        <v>0</v>
      </c>
      <c r="K162" s="590">
        <f>Volumes!K413</f>
        <v>1</v>
      </c>
      <c r="L162" s="590">
        <f>Volumes!L413</f>
        <v>0</v>
      </c>
    </row>
    <row r="163" spans="2:12" ht="12.75" outlineLevel="1">
      <c r="B163" s="170" t="s">
        <v>200</v>
      </c>
      <c r="C163" s="170"/>
      <c r="D163" s="170"/>
      <c r="E163" s="590">
        <f>Volumes!E414</f>
        <v>0</v>
      </c>
      <c r="F163" s="590">
        <f>Volumes!F414</f>
        <v>9116</v>
      </c>
      <c r="G163" s="590">
        <f>Volumes!G414</f>
        <v>0</v>
      </c>
      <c r="H163" s="590">
        <f>Volumes!H414</f>
        <v>93636.71747120803</v>
      </c>
      <c r="I163" s="590">
        <f>Volumes!I414</f>
        <v>31667.166666666664</v>
      </c>
      <c r="J163" s="590">
        <f>Volumes!J414</f>
        <v>0</v>
      </c>
      <c r="K163" s="590">
        <f>Volumes!K414</f>
        <v>4688.385555555556</v>
      </c>
      <c r="L163" s="590">
        <f>Volumes!L414</f>
        <v>0</v>
      </c>
    </row>
    <row r="164" spans="2:12" ht="12.75" outlineLevel="1">
      <c r="B164" s="170" t="s">
        <v>205</v>
      </c>
      <c r="C164" s="170"/>
      <c r="D164" s="170"/>
      <c r="E164" s="590">
        <f>Volumes!E415</f>
        <v>0</v>
      </c>
      <c r="F164" s="590">
        <f>Volumes!F415</f>
        <v>137621.14285714287</v>
      </c>
      <c r="G164" s="590">
        <f>Volumes!G415</f>
        <v>0</v>
      </c>
      <c r="H164" s="590">
        <f>Volumes!H415</f>
        <v>1254540.8770053475</v>
      </c>
      <c r="I164" s="590">
        <f>Volumes!I415</f>
        <v>429466</v>
      </c>
      <c r="J164" s="590">
        <f>Volumes!J415</f>
        <v>0</v>
      </c>
      <c r="K164" s="590">
        <f>Volumes!K415</f>
        <v>113099.44615384615</v>
      </c>
      <c r="L164" s="590">
        <f>Volumes!L415</f>
        <v>0</v>
      </c>
    </row>
    <row r="165" spans="2:12" ht="12.75" outlineLevel="1">
      <c r="B165" s="170" t="s">
        <v>203</v>
      </c>
      <c r="C165" s="170"/>
      <c r="D165" s="170"/>
      <c r="E165" s="600">
        <f>Volumes!E416</f>
        <v>0</v>
      </c>
      <c r="F165" s="600">
        <f>Volumes!F416</f>
        <v>0</v>
      </c>
      <c r="G165" s="600">
        <f>Volumes!G416</f>
        <v>0</v>
      </c>
      <c r="H165" s="600">
        <f>Volumes!H416</f>
        <v>3453165.454545454</v>
      </c>
      <c r="I165" s="600">
        <f>Volumes!I416</f>
        <v>0</v>
      </c>
      <c r="J165" s="600">
        <f>Volumes!J416</f>
        <v>0</v>
      </c>
      <c r="K165" s="600">
        <f>Volumes!K416</f>
        <v>0</v>
      </c>
      <c r="L165" s="600">
        <f>Volumes!L416</f>
        <v>0</v>
      </c>
    </row>
    <row r="166" spans="2:12" ht="12.75" outlineLevel="1">
      <c r="B166" s="170" t="s">
        <v>247</v>
      </c>
      <c r="C166" s="170"/>
      <c r="D166" s="170"/>
      <c r="E166" s="98"/>
      <c r="F166" s="98"/>
      <c r="G166" s="98"/>
      <c r="H166" s="98"/>
      <c r="I166" s="98"/>
      <c r="J166" s="98"/>
      <c r="K166" s="98"/>
      <c r="L166" s="98"/>
    </row>
    <row r="167" spans="2:12" ht="12.75" outlineLevel="1">
      <c r="B167" s="172" t="s">
        <v>210</v>
      </c>
      <c r="C167" s="170"/>
      <c r="D167" s="170"/>
      <c r="E167" s="98"/>
      <c r="F167" s="98"/>
      <c r="G167" s="98"/>
      <c r="H167" s="98"/>
      <c r="I167" s="98"/>
      <c r="J167" s="98"/>
      <c r="K167" s="98"/>
      <c r="L167" s="98"/>
    </row>
    <row r="168" spans="2:12" ht="12.75" outlineLevel="1">
      <c r="B168" s="170" t="s">
        <v>199</v>
      </c>
      <c r="C168" s="170"/>
      <c r="D168" s="170"/>
      <c r="E168" s="590">
        <f>Volumes!E419</f>
        <v>0</v>
      </c>
      <c r="F168" s="590">
        <f>Volumes!F419</f>
        <v>0</v>
      </c>
      <c r="G168" s="590">
        <f>Volumes!G419</f>
        <v>3.986448404098025</v>
      </c>
      <c r="H168" s="590">
        <f>Volumes!H419</f>
        <v>245.1783858998145</v>
      </c>
      <c r="I168" s="590">
        <f>Volumes!I419</f>
        <v>0</v>
      </c>
      <c r="J168" s="590">
        <f>Volumes!J419</f>
        <v>1</v>
      </c>
      <c r="K168" s="590">
        <f>Volumes!K419</f>
        <v>0</v>
      </c>
      <c r="L168" s="590">
        <f>Volumes!L419</f>
        <v>0</v>
      </c>
    </row>
    <row r="169" spans="2:12" ht="12.75" outlineLevel="1">
      <c r="B169" s="170" t="s">
        <v>211</v>
      </c>
      <c r="C169" s="170"/>
      <c r="D169" s="170"/>
      <c r="E169" s="590">
        <f>Volumes!E420</f>
        <v>0</v>
      </c>
      <c r="F169" s="590">
        <f>Volumes!F420</f>
        <v>0</v>
      </c>
      <c r="G169" s="590">
        <f>Volumes!G420</f>
        <v>22689.79752683203</v>
      </c>
      <c r="H169" s="590">
        <f>Volumes!H420</f>
        <v>689684.9473121813</v>
      </c>
      <c r="I169" s="590">
        <f>Volumes!I420</f>
        <v>0</v>
      </c>
      <c r="J169" s="590">
        <f>Volumes!J420</f>
        <v>6990</v>
      </c>
      <c r="K169" s="590">
        <f>Volumes!K420</f>
        <v>0</v>
      </c>
      <c r="L169" s="590">
        <f>Volumes!L420</f>
        <v>0</v>
      </c>
    </row>
    <row r="170" spans="2:12" ht="12.75" outlineLevel="1">
      <c r="B170" s="170" t="s">
        <v>201</v>
      </c>
      <c r="C170" s="170"/>
      <c r="D170" s="170"/>
      <c r="E170" s="590">
        <f>Volumes!E421</f>
        <v>0</v>
      </c>
      <c r="F170" s="590">
        <f>Volumes!F421</f>
        <v>0</v>
      </c>
      <c r="G170" s="590">
        <f>Volumes!G421</f>
        <v>250071.45833823923</v>
      </c>
      <c r="H170" s="590">
        <f>Volumes!H421</f>
        <v>6559230.345794392</v>
      </c>
      <c r="I170" s="590">
        <f>Volumes!I421</f>
        <v>0</v>
      </c>
      <c r="J170" s="590">
        <f>Volumes!J421</f>
        <v>73111</v>
      </c>
      <c r="K170" s="590">
        <f>Volumes!K421</f>
        <v>0</v>
      </c>
      <c r="L170" s="590">
        <f>Volumes!L421</f>
        <v>0</v>
      </c>
    </row>
    <row r="171" spans="2:12" ht="12.75" outlineLevel="1">
      <c r="B171" s="170" t="s">
        <v>202</v>
      </c>
      <c r="C171" s="170"/>
      <c r="D171" s="170"/>
      <c r="E171" s="590">
        <f>Volumes!E422</f>
        <v>0</v>
      </c>
      <c r="F171" s="590">
        <f>Volumes!F422</f>
        <v>0</v>
      </c>
      <c r="G171" s="590">
        <f>Volumes!G422</f>
        <v>92566296.63423474</v>
      </c>
      <c r="H171" s="590">
        <f>Volumes!H422</f>
        <v>2569025691.3419914</v>
      </c>
      <c r="I171" s="590">
        <f>Volumes!I422</f>
        <v>0</v>
      </c>
      <c r="J171" s="590">
        <f>Volumes!J422</f>
        <v>4819268</v>
      </c>
      <c r="K171" s="590">
        <f>Volumes!K422</f>
        <v>0</v>
      </c>
      <c r="L171" s="590">
        <f>Volumes!L422</f>
        <v>0</v>
      </c>
    </row>
    <row r="172" spans="2:12" ht="12.75" outlineLevel="1">
      <c r="B172" s="170" t="s">
        <v>203</v>
      </c>
      <c r="C172" s="170"/>
      <c r="D172" s="170"/>
      <c r="E172" s="600">
        <f>Volumes!E423</f>
        <v>0</v>
      </c>
      <c r="F172" s="600">
        <f>Volumes!F423</f>
        <v>0</v>
      </c>
      <c r="G172" s="600">
        <f>Volumes!G423</f>
        <v>0</v>
      </c>
      <c r="H172" s="600">
        <f>Volumes!H423</f>
        <v>56064187.27272727</v>
      </c>
      <c r="I172" s="600">
        <f>Volumes!I423</f>
        <v>0</v>
      </c>
      <c r="J172" s="600">
        <f>Volumes!J423</f>
        <v>0</v>
      </c>
      <c r="K172" s="600">
        <f>Volumes!K423</f>
        <v>0</v>
      </c>
      <c r="L172" s="600">
        <f>Volumes!L423</f>
        <v>0</v>
      </c>
    </row>
    <row r="173" spans="2:12" ht="12.75" outlineLevel="1">
      <c r="B173" s="170" t="s">
        <v>247</v>
      </c>
      <c r="C173" s="170"/>
      <c r="D173" s="170"/>
      <c r="E173" s="98"/>
      <c r="F173" s="98"/>
      <c r="G173" s="98"/>
      <c r="H173" s="98"/>
      <c r="I173" s="98"/>
      <c r="J173" s="98"/>
      <c r="K173" s="98"/>
      <c r="L173" s="98"/>
    </row>
    <row r="174" spans="2:12" ht="12.75" outlineLevel="1">
      <c r="B174" s="172" t="s">
        <v>212</v>
      </c>
      <c r="C174" s="170"/>
      <c r="D174" s="170"/>
      <c r="E174" s="98"/>
      <c r="F174" s="98"/>
      <c r="G174" s="98"/>
      <c r="H174" s="98"/>
      <c r="I174" s="98"/>
      <c r="J174" s="98"/>
      <c r="K174" s="98"/>
      <c r="L174" s="98"/>
    </row>
    <row r="175" spans="2:12" ht="12.75" outlineLevel="1">
      <c r="B175" s="170" t="s">
        <v>199</v>
      </c>
      <c r="C175" s="170"/>
      <c r="D175" s="170"/>
      <c r="E175" s="590">
        <f>Volumes!E426</f>
        <v>30</v>
      </c>
      <c r="F175" s="590">
        <f>Volumes!F426</f>
        <v>400.75</v>
      </c>
      <c r="G175" s="590">
        <f>Volumes!G426</f>
        <v>583.2920807572971</v>
      </c>
      <c r="H175" s="590">
        <f>Volumes!H426</f>
        <v>9154.128905380334</v>
      </c>
      <c r="I175" s="590">
        <f>Volumes!I426</f>
        <v>9008.681098744448</v>
      </c>
      <c r="J175" s="590">
        <f>Volumes!J426</f>
        <v>17.73</v>
      </c>
      <c r="K175" s="590">
        <f>Volumes!K426</f>
        <v>3039.519954648526</v>
      </c>
      <c r="L175" s="590">
        <f>Volumes!L426</f>
        <v>270.02768707482994</v>
      </c>
    </row>
    <row r="176" spans="2:12" ht="12.75" outlineLevel="1">
      <c r="B176" s="170" t="s">
        <v>211</v>
      </c>
      <c r="C176" s="170"/>
      <c r="D176" s="170"/>
      <c r="E176" s="590">
        <f>Volumes!E427</f>
        <v>31457</v>
      </c>
      <c r="F176" s="590">
        <f>Volumes!F427</f>
        <v>177244.4166666667</v>
      </c>
      <c r="G176" s="590">
        <f>Volumes!G427</f>
        <v>152716.89854458</v>
      </c>
      <c r="H176" s="590">
        <f>Volumes!H427</f>
        <v>2946866.398771841</v>
      </c>
      <c r="I176" s="590">
        <f>Volumes!I427</f>
        <v>3194870.543192299</v>
      </c>
      <c r="J176" s="590">
        <f>Volumes!J427</f>
        <v>21018</v>
      </c>
      <c r="K176" s="590">
        <f>Volumes!K427</f>
        <v>1804684.007490636</v>
      </c>
      <c r="L176" s="590">
        <f>Volumes!L427</f>
        <v>260020.5111492281</v>
      </c>
    </row>
    <row r="177" spans="2:12" ht="12.75" outlineLevel="1">
      <c r="B177" s="170" t="s">
        <v>201</v>
      </c>
      <c r="C177" s="170"/>
      <c r="D177" s="170"/>
      <c r="E177" s="590">
        <f>Volumes!E428</f>
        <v>322886</v>
      </c>
      <c r="F177" s="590">
        <f>Volumes!F428</f>
        <v>1458129</v>
      </c>
      <c r="G177" s="590">
        <f>Volumes!G428</f>
        <v>1184984.3576887576</v>
      </c>
      <c r="H177" s="590">
        <f>Volumes!H428</f>
        <v>26120456.888257578</v>
      </c>
      <c r="I177" s="590">
        <f>Volumes!I428</f>
        <v>26904835.058671664</v>
      </c>
      <c r="J177" s="590">
        <f>Volumes!J428</f>
        <v>201386</v>
      </c>
      <c r="K177" s="590">
        <f>Volumes!K428</f>
        <v>13928738.944827583</v>
      </c>
      <c r="L177" s="590">
        <f>Volumes!L428</f>
        <v>1886073.7449664432</v>
      </c>
    </row>
    <row r="178" spans="2:12" ht="12.75" outlineLevel="1">
      <c r="B178" s="170" t="s">
        <v>202</v>
      </c>
      <c r="C178" s="170"/>
      <c r="D178" s="170"/>
      <c r="E178" s="590">
        <f>Volumes!E429</f>
        <v>109111499</v>
      </c>
      <c r="F178" s="590">
        <f>Volumes!F429</f>
        <v>460008638.55921054</v>
      </c>
      <c r="G178" s="590">
        <f>Volumes!G429</f>
        <v>397691192.8137176</v>
      </c>
      <c r="H178" s="590">
        <f>Volumes!H429</f>
        <v>7946310326.286966</v>
      </c>
      <c r="I178" s="590">
        <f>Volumes!I429</f>
        <v>8720106593.823997</v>
      </c>
      <c r="J178" s="590">
        <f>Volumes!J429</f>
        <v>73450339</v>
      </c>
      <c r="K178" s="590">
        <f>Volumes!K429</f>
        <v>4764709396.629213</v>
      </c>
      <c r="L178" s="590">
        <f>Volumes!L429</f>
        <v>484027904</v>
      </c>
    </row>
    <row r="179" spans="2:12" ht="12.75" outlineLevel="1">
      <c r="B179" s="170" t="s">
        <v>203</v>
      </c>
      <c r="C179" s="170"/>
      <c r="D179" s="170"/>
      <c r="E179" s="600">
        <f>Volumes!E430</f>
        <v>1508631</v>
      </c>
      <c r="F179" s="600">
        <f>Volumes!F430</f>
        <v>0</v>
      </c>
      <c r="G179" s="600">
        <f>Volumes!G430</f>
        <v>5345962.722440112</v>
      </c>
      <c r="H179" s="600">
        <f>Volumes!H430</f>
        <v>248060746.81818178</v>
      </c>
      <c r="I179" s="600">
        <f>Volumes!I430</f>
        <v>0</v>
      </c>
      <c r="J179" s="600">
        <f>Volumes!J430</f>
        <v>1070076</v>
      </c>
      <c r="K179" s="600">
        <f>Volumes!K430</f>
        <v>35145930</v>
      </c>
      <c r="L179" s="600">
        <f>Volumes!L430</f>
        <v>0</v>
      </c>
    </row>
    <row r="180" spans="2:12" ht="12.75" outlineLevel="1">
      <c r="B180" s="170" t="s">
        <v>247</v>
      </c>
      <c r="C180" s="170"/>
      <c r="D180" s="170"/>
      <c r="E180" s="98"/>
      <c r="F180" s="98"/>
      <c r="G180" s="98"/>
      <c r="H180" s="98"/>
      <c r="I180" s="98"/>
      <c r="J180" s="98"/>
      <c r="K180" s="98"/>
      <c r="L180" s="98"/>
    </row>
    <row r="181" spans="2:12" ht="12.75" outlineLevel="1">
      <c r="B181" s="172" t="s">
        <v>213</v>
      </c>
      <c r="C181" s="170"/>
      <c r="D181" s="170"/>
      <c r="E181" s="98"/>
      <c r="F181" s="98"/>
      <c r="G181" s="98"/>
      <c r="H181" s="98"/>
      <c r="I181" s="98"/>
      <c r="J181" s="98"/>
      <c r="K181" s="98"/>
      <c r="L181" s="98"/>
    </row>
    <row r="182" spans="2:12" ht="12.75" outlineLevel="1">
      <c r="B182" s="170" t="s">
        <v>199</v>
      </c>
      <c r="C182" s="170"/>
      <c r="D182" s="170"/>
      <c r="E182" s="590">
        <f>Volumes!E433</f>
        <v>209</v>
      </c>
      <c r="F182" s="590">
        <f>Volumes!F433</f>
        <v>1444.9166666666665</v>
      </c>
      <c r="G182" s="590">
        <f>Volumes!G433</f>
        <v>656.8749276838793</v>
      </c>
      <c r="H182" s="590">
        <f>Volumes!H433</f>
        <v>14388.939066171924</v>
      </c>
      <c r="I182" s="590">
        <f>Volumes!I433</f>
        <v>13388.265022482712</v>
      </c>
      <c r="J182" s="590">
        <f>Volumes!J433</f>
        <v>134.06</v>
      </c>
      <c r="K182" s="590">
        <f>Volumes!K433</f>
        <v>8848.49918367347</v>
      </c>
      <c r="L182" s="590">
        <f>Volumes!L433</f>
        <v>1060.1589569161</v>
      </c>
    </row>
    <row r="183" spans="2:12" ht="12.75" outlineLevel="1">
      <c r="B183" s="170" t="s">
        <v>211</v>
      </c>
      <c r="C183" s="170"/>
      <c r="D183" s="170"/>
      <c r="E183" s="590">
        <f>Volumes!E434</f>
        <v>41068</v>
      </c>
      <c r="F183" s="590">
        <f>Volumes!F434</f>
        <v>138825.66666666666</v>
      </c>
      <c r="G183" s="590">
        <f>Volumes!G434</f>
        <v>39237.06241882206</v>
      </c>
      <c r="H183" s="590">
        <f>Volumes!H434</f>
        <v>1053288.6662373275</v>
      </c>
      <c r="I183" s="590">
        <f>Volumes!I434</f>
        <v>1189134.1860904596</v>
      </c>
      <c r="J183" s="590">
        <f>Volumes!J434</f>
        <v>22547</v>
      </c>
      <c r="K183" s="590">
        <f>Volumes!K434</f>
        <v>1144311.281609196</v>
      </c>
      <c r="L183" s="590">
        <f>Volumes!L434</f>
        <v>213714.8200514139</v>
      </c>
    </row>
    <row r="184" spans="2:12" ht="12.75" outlineLevel="1">
      <c r="B184" s="170" t="s">
        <v>201</v>
      </c>
      <c r="C184" s="170"/>
      <c r="D184" s="170"/>
      <c r="E184" s="590">
        <f>Volumes!E435</f>
        <v>362639</v>
      </c>
      <c r="F184" s="590">
        <f>Volumes!F435</f>
        <v>1059003.92</v>
      </c>
      <c r="G184" s="590">
        <f>Volumes!G435</f>
        <v>260076.28065434218</v>
      </c>
      <c r="H184" s="590">
        <f>Volumes!H435</f>
        <v>8343391.250000001</v>
      </c>
      <c r="I184" s="590">
        <f>Volumes!I435</f>
        <v>9152817.000641614</v>
      </c>
      <c r="J184" s="590">
        <f>Volumes!J435</f>
        <v>216002</v>
      </c>
      <c r="K184" s="590">
        <f>Volumes!K435</f>
        <v>7943134.717241379</v>
      </c>
      <c r="L184" s="590">
        <f>Volumes!L435</f>
        <v>1583827.6711409392</v>
      </c>
    </row>
    <row r="185" spans="2:12" ht="12.75" outlineLevel="1">
      <c r="B185" s="170" t="s">
        <v>202</v>
      </c>
      <c r="C185" s="170"/>
      <c r="D185" s="170"/>
      <c r="E185" s="590">
        <f>Volumes!E436</f>
        <v>96969671</v>
      </c>
      <c r="F185" s="590">
        <f>Volumes!F436</f>
        <v>276822280.38947374</v>
      </c>
      <c r="G185" s="590">
        <f>Volumes!G436</f>
        <v>70318119.05381988</v>
      </c>
      <c r="H185" s="590">
        <f>Volumes!H436</f>
        <v>2187557610.07667</v>
      </c>
      <c r="I185" s="590">
        <f>Volumes!I436</f>
        <v>2533771483.7609086</v>
      </c>
      <c r="J185" s="590">
        <f>Volumes!J436</f>
        <v>55742080</v>
      </c>
      <c r="K185" s="590">
        <f>Volumes!K436</f>
        <v>2301030968.539326</v>
      </c>
      <c r="L185" s="590">
        <f>Volumes!L436</f>
        <v>419642943</v>
      </c>
    </row>
    <row r="186" spans="2:12" ht="12.75" outlineLevel="1">
      <c r="B186" s="170" t="s">
        <v>203</v>
      </c>
      <c r="C186" s="170"/>
      <c r="D186" s="170"/>
      <c r="E186" s="600">
        <f>Volumes!E437</f>
        <v>1087461</v>
      </c>
      <c r="F186" s="600">
        <f>Volumes!F437</f>
        <v>0</v>
      </c>
      <c r="G186" s="600">
        <f>Volumes!G437</f>
        <v>165552.66217527151</v>
      </c>
      <c r="H186" s="600">
        <f>Volumes!H437</f>
        <v>12380964.545454549</v>
      </c>
      <c r="I186" s="600">
        <f>Volumes!I437</f>
        <v>0</v>
      </c>
      <c r="J186" s="600">
        <f>Volumes!J437</f>
        <v>860895</v>
      </c>
      <c r="K186" s="600">
        <f>Volumes!K437</f>
        <v>14223686.666666666</v>
      </c>
      <c r="L186" s="600">
        <f>Volumes!L437</f>
        <v>0</v>
      </c>
    </row>
    <row r="187" spans="2:12" ht="12.75" outlineLevel="1">
      <c r="B187" s="170" t="s">
        <v>247</v>
      </c>
      <c r="C187" s="170"/>
      <c r="D187" s="170"/>
      <c r="E187" s="98"/>
      <c r="F187" s="98"/>
      <c r="G187" s="98"/>
      <c r="H187" s="98"/>
      <c r="I187" s="98"/>
      <c r="J187" s="98"/>
      <c r="K187" s="98"/>
      <c r="L187" s="98"/>
    </row>
    <row r="188" spans="2:12" ht="12.75" outlineLevel="1">
      <c r="B188" s="172" t="s">
        <v>214</v>
      </c>
      <c r="C188" s="170"/>
      <c r="D188" s="170"/>
      <c r="E188" s="98"/>
      <c r="F188" s="98"/>
      <c r="G188" s="98"/>
      <c r="H188" s="98"/>
      <c r="I188" s="98"/>
      <c r="J188" s="98"/>
      <c r="K188" s="98"/>
      <c r="L188" s="98"/>
    </row>
    <row r="189" spans="2:12" ht="12.75" outlineLevel="1">
      <c r="B189" s="170" t="s">
        <v>199</v>
      </c>
      <c r="C189" s="170"/>
      <c r="D189" s="170"/>
      <c r="E189" s="590">
        <f>Volumes!E440</f>
        <v>305</v>
      </c>
      <c r="F189" s="590">
        <f>Volumes!F440</f>
        <v>352.4166666666667</v>
      </c>
      <c r="G189" s="590">
        <f>Volumes!G440</f>
        <v>0</v>
      </c>
      <c r="H189" s="590">
        <f>Volumes!H440</f>
        <v>3129.8296969696976</v>
      </c>
      <c r="I189" s="590">
        <f>Volumes!I440</f>
        <v>5828.216556159666</v>
      </c>
      <c r="J189" s="590">
        <f>Volumes!J440</f>
        <v>122.1</v>
      </c>
      <c r="K189" s="590">
        <f>Volumes!K440</f>
        <v>7000.546111111111</v>
      </c>
      <c r="L189" s="590">
        <f>Volumes!L440</f>
        <v>66.64722222222223</v>
      </c>
    </row>
    <row r="190" spans="2:12" ht="12.75" outlineLevel="1">
      <c r="B190" s="170" t="s">
        <v>211</v>
      </c>
      <c r="C190" s="170"/>
      <c r="D190" s="170"/>
      <c r="E190" s="590">
        <f>Volumes!E441</f>
        <v>23504</v>
      </c>
      <c r="F190" s="590">
        <f>Volumes!F441</f>
        <v>17433</v>
      </c>
      <c r="G190" s="590">
        <f>Volumes!G441</f>
        <v>0</v>
      </c>
      <c r="H190" s="590">
        <f>Volumes!H441</f>
        <v>101691.90927873777</v>
      </c>
      <c r="I190" s="590">
        <f>Volumes!I441</f>
        <v>211016.96094178432</v>
      </c>
      <c r="J190" s="590">
        <f>Volumes!J441</f>
        <v>7633</v>
      </c>
      <c r="K190" s="590">
        <f>Volumes!K441</f>
        <v>587392.2274774775</v>
      </c>
      <c r="L190" s="590">
        <f>Volumes!L441</f>
        <v>4308.684290030213</v>
      </c>
    </row>
    <row r="191" spans="2:12" ht="12.75" outlineLevel="1">
      <c r="B191" s="170" t="s">
        <v>221</v>
      </c>
      <c r="C191" s="170"/>
      <c r="D191" s="170"/>
      <c r="E191" s="590">
        <f>Volumes!E442</f>
        <v>14822263</v>
      </c>
      <c r="F191" s="590">
        <f>Volumes!F442</f>
        <v>8303103.0138157895</v>
      </c>
      <c r="G191" s="590">
        <f>Volumes!G442</f>
        <v>0</v>
      </c>
      <c r="H191" s="590">
        <f>Volumes!H442</f>
        <v>66532794.17706477</v>
      </c>
      <c r="I191" s="590">
        <f>Volumes!I442</f>
        <v>158785264.15167654</v>
      </c>
      <c r="J191" s="590">
        <f>Volumes!J442</f>
        <v>5947722</v>
      </c>
      <c r="K191" s="590">
        <f>Volumes!K442</f>
        <v>363643496.87499994</v>
      </c>
      <c r="L191" s="590">
        <f>Volumes!L442</f>
        <v>3607089.444444445</v>
      </c>
    </row>
    <row r="192" spans="2:12" ht="12.75" outlineLevel="1">
      <c r="B192" s="170" t="s">
        <v>202</v>
      </c>
      <c r="C192" s="170"/>
      <c r="D192" s="170"/>
      <c r="E192" s="590">
        <f>Volumes!E443</f>
        <v>29058707</v>
      </c>
      <c r="F192" s="590">
        <f>Volumes!F443</f>
        <v>11040413.39407895</v>
      </c>
      <c r="G192" s="590">
        <f>Volumes!G443</f>
        <v>0</v>
      </c>
      <c r="H192" s="590">
        <f>Volumes!H443</f>
        <v>101213575.45764814</v>
      </c>
      <c r="I192" s="590">
        <f>Volumes!I443</f>
        <v>242915658.71953067</v>
      </c>
      <c r="J192" s="590">
        <f>Volumes!J443</f>
        <v>11855582</v>
      </c>
      <c r="K192" s="590">
        <f>Volumes!K443</f>
        <v>581694761.25</v>
      </c>
      <c r="L192" s="590">
        <f>Volumes!L443</f>
        <v>4731515.6424581</v>
      </c>
    </row>
    <row r="193" spans="2:12" ht="12.75" outlineLevel="1">
      <c r="B193" s="170" t="s">
        <v>203</v>
      </c>
      <c r="C193" s="170"/>
      <c r="D193" s="170"/>
      <c r="E193" s="600">
        <f>Volumes!E444</f>
        <v>632422</v>
      </c>
      <c r="F193" s="600">
        <f>Volumes!F444</f>
        <v>0</v>
      </c>
      <c r="G193" s="600">
        <f>Volumes!G444</f>
        <v>0</v>
      </c>
      <c r="H193" s="601">
        <f>Volumes!H444</f>
        <v>1481.6666666666667</v>
      </c>
      <c r="I193" s="600">
        <f>Volumes!I444</f>
        <v>0</v>
      </c>
      <c r="J193" s="600">
        <f>Volumes!J444</f>
        <v>370744</v>
      </c>
      <c r="K193" s="600">
        <f>Volumes!K444</f>
        <v>9205931.666666666</v>
      </c>
      <c r="L193" s="600">
        <f>Volumes!L444</f>
        <v>0</v>
      </c>
    </row>
    <row r="194" spans="2:12" ht="12.75" outlineLevel="1">
      <c r="B194" s="170" t="s">
        <v>247</v>
      </c>
      <c r="C194" s="170"/>
      <c r="D194" s="170"/>
      <c r="E194" s="98"/>
      <c r="F194" s="98"/>
      <c r="G194" s="98"/>
      <c r="H194" s="98"/>
      <c r="I194" s="98"/>
      <c r="J194" s="98"/>
      <c r="K194" s="98"/>
      <c r="L194" s="98"/>
    </row>
    <row r="195" spans="2:12" ht="12.75" outlineLevel="1">
      <c r="B195" s="287" t="s">
        <v>505</v>
      </c>
      <c r="C195" s="170"/>
      <c r="D195" s="170"/>
      <c r="E195" s="98"/>
      <c r="F195" s="98"/>
      <c r="G195" s="98"/>
      <c r="H195" s="98"/>
      <c r="I195" s="98"/>
      <c r="J195" s="98"/>
      <c r="K195" s="98"/>
      <c r="L195" s="98"/>
    </row>
    <row r="196" spans="2:12" ht="12.75" outlineLevel="1">
      <c r="B196" s="288"/>
      <c r="C196" s="170"/>
      <c r="D196" s="170"/>
      <c r="E196" s="98"/>
      <c r="F196" s="98"/>
      <c r="G196" s="98"/>
      <c r="H196" s="98"/>
      <c r="I196" s="98"/>
      <c r="J196" s="98"/>
      <c r="K196" s="98"/>
      <c r="L196" s="98"/>
    </row>
    <row r="197" spans="2:12" ht="12.75" outlineLevel="1">
      <c r="B197" s="289" t="s">
        <v>222</v>
      </c>
      <c r="C197" s="176"/>
      <c r="D197" s="176"/>
      <c r="E197" s="98"/>
      <c r="F197" s="98"/>
      <c r="G197" s="98"/>
      <c r="H197" s="98"/>
      <c r="I197" s="98"/>
      <c r="J197" s="98"/>
      <c r="K197" s="98"/>
      <c r="L197" s="98"/>
    </row>
    <row r="198" spans="2:12" ht="12.75" outlineLevel="1">
      <c r="B198" s="288" t="s">
        <v>199</v>
      </c>
      <c r="C198" s="176"/>
      <c r="D198" s="176"/>
      <c r="E198" s="98"/>
      <c r="F198" s="98"/>
      <c r="G198" s="98"/>
      <c r="H198" s="98"/>
      <c r="I198" s="98"/>
      <c r="J198" s="98"/>
      <c r="K198" s="98"/>
      <c r="L198" s="98"/>
    </row>
    <row r="199" spans="2:12" ht="12.75" outlineLevel="1">
      <c r="B199" s="288" t="s">
        <v>211</v>
      </c>
      <c r="C199" s="176"/>
      <c r="D199" s="176"/>
      <c r="E199" s="98"/>
      <c r="F199" s="98"/>
      <c r="G199" s="98"/>
      <c r="H199" s="98"/>
      <c r="I199" s="98"/>
      <c r="J199" s="98"/>
      <c r="K199" s="98"/>
      <c r="L199" s="98"/>
    </row>
    <row r="200" spans="2:12" ht="12.75" outlineLevel="1">
      <c r="B200" s="288" t="s">
        <v>221</v>
      </c>
      <c r="C200" s="176"/>
      <c r="D200" s="176"/>
      <c r="E200" s="98"/>
      <c r="F200" s="98"/>
      <c r="G200" s="98"/>
      <c r="H200" s="98"/>
      <c r="I200" s="98"/>
      <c r="J200" s="98"/>
      <c r="K200" s="98"/>
      <c r="L200" s="98"/>
    </row>
    <row r="201" spans="2:12" ht="12.75" outlineLevel="1">
      <c r="B201" s="288" t="s">
        <v>202</v>
      </c>
      <c r="C201" s="176"/>
      <c r="D201" s="176"/>
      <c r="E201" s="98"/>
      <c r="F201" s="98"/>
      <c r="G201" s="98"/>
      <c r="H201" s="98"/>
      <c r="I201" s="98"/>
      <c r="J201" s="98"/>
      <c r="K201" s="98"/>
      <c r="L201" s="98"/>
    </row>
    <row r="202" spans="2:12" ht="12.75" outlineLevel="1">
      <c r="B202" s="288" t="s">
        <v>247</v>
      </c>
      <c r="C202" s="176"/>
      <c r="D202" s="176"/>
      <c r="E202" s="98"/>
      <c r="F202" s="98"/>
      <c r="G202" s="98"/>
      <c r="H202" s="98"/>
      <c r="I202" s="98"/>
      <c r="J202" s="98"/>
      <c r="K202" s="98"/>
      <c r="L202" s="98"/>
    </row>
    <row r="203" spans="2:12" ht="12.75" outlineLevel="1">
      <c r="B203" s="289" t="s">
        <v>223</v>
      </c>
      <c r="C203" s="176"/>
      <c r="D203" s="176"/>
      <c r="E203" s="98"/>
      <c r="F203" s="98"/>
      <c r="G203" s="98"/>
      <c r="H203" s="98"/>
      <c r="I203" s="98"/>
      <c r="J203" s="98"/>
      <c r="K203" s="98"/>
      <c r="L203" s="98"/>
    </row>
    <row r="204" spans="2:12" ht="12.75" outlineLevel="1">
      <c r="B204" s="288" t="s">
        <v>199</v>
      </c>
      <c r="C204" s="176"/>
      <c r="D204" s="176"/>
      <c r="E204" s="98"/>
      <c r="F204" s="98"/>
      <c r="G204" s="98"/>
      <c r="H204" s="98"/>
      <c r="I204" s="98"/>
      <c r="J204" s="98"/>
      <c r="K204" s="98"/>
      <c r="L204" s="98"/>
    </row>
    <row r="205" spans="2:12" ht="12.75" outlineLevel="1">
      <c r="B205" s="288" t="s">
        <v>211</v>
      </c>
      <c r="C205" s="176"/>
      <c r="D205" s="176"/>
      <c r="E205" s="98"/>
      <c r="F205" s="98"/>
      <c r="G205" s="98"/>
      <c r="H205" s="98"/>
      <c r="I205" s="98"/>
      <c r="J205" s="98"/>
      <c r="K205" s="98"/>
      <c r="L205" s="98"/>
    </row>
    <row r="206" spans="2:12" ht="12.75" outlineLevel="1">
      <c r="B206" s="288" t="s">
        <v>224</v>
      </c>
      <c r="C206" s="176"/>
      <c r="D206" s="176"/>
      <c r="E206" s="98"/>
      <c r="F206" s="98"/>
      <c r="G206" s="98"/>
      <c r="H206" s="98"/>
      <c r="I206" s="98"/>
      <c r="J206" s="98"/>
      <c r="K206" s="98"/>
      <c r="L206" s="98"/>
    </row>
    <row r="207" spans="2:12" ht="12.75" outlineLevel="1">
      <c r="B207" s="288" t="s">
        <v>247</v>
      </c>
      <c r="C207" s="176"/>
      <c r="D207" s="176"/>
      <c r="E207" s="98"/>
      <c r="F207" s="98"/>
      <c r="G207" s="98"/>
      <c r="H207" s="98"/>
      <c r="I207" s="98"/>
      <c r="J207" s="98"/>
      <c r="K207" s="98"/>
      <c r="L207" s="98"/>
    </row>
    <row r="208" spans="2:12" ht="12.75" outlineLevel="1">
      <c r="B208" s="289" t="s">
        <v>225</v>
      </c>
      <c r="C208" s="176"/>
      <c r="D208" s="176"/>
      <c r="E208" s="98"/>
      <c r="F208" s="98"/>
      <c r="G208" s="98"/>
      <c r="H208" s="98"/>
      <c r="I208" s="98"/>
      <c r="J208" s="98"/>
      <c r="K208" s="98"/>
      <c r="L208" s="98"/>
    </row>
    <row r="209" spans="2:12" ht="12.75" outlineLevel="1">
      <c r="B209" s="288" t="s">
        <v>199</v>
      </c>
      <c r="C209" s="176"/>
      <c r="D209" s="176"/>
      <c r="E209" s="98"/>
      <c r="F209" s="98"/>
      <c r="G209" s="98"/>
      <c r="H209" s="98"/>
      <c r="I209" s="98"/>
      <c r="J209" s="98"/>
      <c r="K209" s="98"/>
      <c r="L209" s="98"/>
    </row>
    <row r="210" spans="2:12" ht="12.75" outlineLevel="1">
      <c r="B210" s="288" t="s">
        <v>221</v>
      </c>
      <c r="C210" s="176"/>
      <c r="D210" s="176"/>
      <c r="E210" s="98"/>
      <c r="F210" s="98"/>
      <c r="G210" s="98"/>
      <c r="H210" s="98"/>
      <c r="I210" s="98"/>
      <c r="J210" s="98"/>
      <c r="K210" s="98"/>
      <c r="L210" s="98"/>
    </row>
    <row r="211" spans="2:12" ht="12.75" outlineLevel="1">
      <c r="B211" s="288" t="s">
        <v>202</v>
      </c>
      <c r="C211" s="176"/>
      <c r="D211" s="176"/>
      <c r="E211" s="98"/>
      <c r="F211" s="98"/>
      <c r="G211" s="98"/>
      <c r="H211" s="98"/>
      <c r="I211" s="98"/>
      <c r="J211" s="98"/>
      <c r="K211" s="98"/>
      <c r="L211" s="98"/>
    </row>
    <row r="212" spans="2:12" ht="12.75" outlineLevel="1">
      <c r="B212" s="288" t="s">
        <v>247</v>
      </c>
      <c r="C212" s="176"/>
      <c r="D212" s="176"/>
      <c r="E212" s="98"/>
      <c r="F212" s="98"/>
      <c r="G212" s="98"/>
      <c r="H212" s="98"/>
      <c r="I212" s="98"/>
      <c r="J212" s="98"/>
      <c r="K212" s="98"/>
      <c r="L212" s="98"/>
    </row>
    <row r="213" spans="2:12" ht="12.75" outlineLevel="1">
      <c r="B213" s="289" t="s">
        <v>226</v>
      </c>
      <c r="C213" s="176"/>
      <c r="D213" s="176"/>
      <c r="E213" s="98"/>
      <c r="F213" s="98"/>
      <c r="G213" s="98"/>
      <c r="H213" s="98"/>
      <c r="I213" s="98"/>
      <c r="J213" s="98"/>
      <c r="K213" s="98"/>
      <c r="L213" s="98"/>
    </row>
    <row r="214" spans="2:12" ht="12.75" outlineLevel="1">
      <c r="B214" s="288" t="s">
        <v>199</v>
      </c>
      <c r="C214" s="176"/>
      <c r="D214" s="176"/>
      <c r="E214" s="98"/>
      <c r="F214" s="98"/>
      <c r="G214" s="98"/>
      <c r="H214" s="98"/>
      <c r="I214" s="98"/>
      <c r="J214" s="98"/>
      <c r="K214" s="98"/>
      <c r="L214" s="98"/>
    </row>
    <row r="215" spans="2:12" ht="12.75" outlineLevel="1">
      <c r="B215" s="288" t="s">
        <v>224</v>
      </c>
      <c r="C215" s="176"/>
      <c r="D215" s="176"/>
      <c r="E215" s="98"/>
      <c r="F215" s="98"/>
      <c r="G215" s="98"/>
      <c r="H215" s="98"/>
      <c r="I215" s="98"/>
      <c r="J215" s="98"/>
      <c r="K215" s="98"/>
      <c r="L215" s="98"/>
    </row>
    <row r="216" spans="2:12" ht="12.75" outlineLevel="1">
      <c r="B216" s="288" t="s">
        <v>247</v>
      </c>
      <c r="C216" s="176"/>
      <c r="D216" s="176"/>
      <c r="E216" s="98"/>
      <c r="F216" s="98"/>
      <c r="G216" s="98"/>
      <c r="H216" s="98"/>
      <c r="I216" s="98"/>
      <c r="J216" s="98"/>
      <c r="K216" s="98"/>
      <c r="L216" s="98"/>
    </row>
    <row r="217" spans="2:12" ht="12.75" outlineLevel="1">
      <c r="B217" s="289" t="s">
        <v>232</v>
      </c>
      <c r="C217" s="176"/>
      <c r="D217" s="176"/>
      <c r="E217" s="98"/>
      <c r="F217" s="98"/>
      <c r="G217" s="98"/>
      <c r="H217" s="98"/>
      <c r="I217" s="98"/>
      <c r="J217" s="98"/>
      <c r="K217" s="98"/>
      <c r="L217" s="98"/>
    </row>
    <row r="218" spans="2:12" ht="12.75" outlineLevel="1">
      <c r="B218" s="288" t="s">
        <v>199</v>
      </c>
      <c r="C218" s="176"/>
      <c r="D218" s="176"/>
      <c r="E218" s="98"/>
      <c r="F218" s="98"/>
      <c r="G218" s="98"/>
      <c r="H218" s="98"/>
      <c r="I218" s="98"/>
      <c r="J218" s="98"/>
      <c r="K218" s="98"/>
      <c r="L218" s="98"/>
    </row>
    <row r="219" spans="2:12" ht="12.75" outlineLevel="1">
      <c r="B219" s="288" t="s">
        <v>221</v>
      </c>
      <c r="C219" s="176"/>
      <c r="D219" s="176"/>
      <c r="E219" s="98"/>
      <c r="F219" s="98"/>
      <c r="G219" s="98"/>
      <c r="H219" s="98"/>
      <c r="I219" s="98"/>
      <c r="J219" s="98"/>
      <c r="K219" s="98"/>
      <c r="L219" s="98"/>
    </row>
    <row r="220" spans="2:12" ht="12.75" outlineLevel="1">
      <c r="B220" s="288" t="s">
        <v>202</v>
      </c>
      <c r="C220" s="176"/>
      <c r="D220" s="176"/>
      <c r="E220" s="98"/>
      <c r="F220" s="98"/>
      <c r="G220" s="98"/>
      <c r="H220" s="98"/>
      <c r="I220" s="98"/>
      <c r="J220" s="98"/>
      <c r="K220" s="98"/>
      <c r="L220" s="98"/>
    </row>
    <row r="221" spans="2:12" ht="12.75" outlineLevel="1">
      <c r="B221" s="170"/>
      <c r="C221" s="170"/>
      <c r="D221" s="170"/>
      <c r="E221" s="98"/>
      <c r="F221" s="98"/>
      <c r="G221" s="98"/>
      <c r="H221" s="98"/>
      <c r="I221" s="98"/>
      <c r="J221" s="98"/>
      <c r="K221" s="98"/>
      <c r="L221" s="98"/>
    </row>
    <row r="222" spans="2:12" ht="12.75" outlineLevel="1">
      <c r="B222" s="171" t="s">
        <v>506</v>
      </c>
      <c r="C222" s="170"/>
      <c r="D222" s="170"/>
      <c r="E222" s="98"/>
      <c r="F222" s="98"/>
      <c r="G222" s="98"/>
      <c r="H222" s="98"/>
      <c r="I222" s="98"/>
      <c r="J222" s="98"/>
      <c r="K222" s="98"/>
      <c r="L222" s="98"/>
    </row>
    <row r="223" spans="2:12" ht="12.75" outlineLevel="1">
      <c r="B223" s="170"/>
      <c r="C223" s="170"/>
      <c r="D223" s="170"/>
      <c r="E223" s="98"/>
      <c r="F223" s="98"/>
      <c r="G223" s="98"/>
      <c r="H223" s="98"/>
      <c r="I223" s="98"/>
      <c r="J223" s="98"/>
      <c r="K223" s="98"/>
      <c r="L223" s="98"/>
    </row>
    <row r="224" spans="2:12" ht="12.75" outlineLevel="1">
      <c r="B224" s="172" t="s">
        <v>235</v>
      </c>
      <c r="C224" s="190"/>
      <c r="D224" s="190"/>
      <c r="E224" s="98"/>
      <c r="F224" s="98"/>
      <c r="G224" s="98"/>
      <c r="H224" s="98"/>
      <c r="I224" s="98"/>
      <c r="J224" s="98"/>
      <c r="K224" s="98"/>
      <c r="L224" s="98"/>
    </row>
    <row r="225" spans="2:12" ht="12.75" outlineLevel="1">
      <c r="B225" s="170" t="s">
        <v>236</v>
      </c>
      <c r="C225" s="191"/>
      <c r="D225" s="191"/>
      <c r="E225" s="590">
        <f>Volumes!E476</f>
        <v>22611</v>
      </c>
      <c r="F225" s="590">
        <f>Volumes!F476</f>
        <v>84946</v>
      </c>
      <c r="G225" s="590">
        <f>Volumes!G476</f>
        <v>43451.231434195404</v>
      </c>
      <c r="H225" s="590">
        <f>Volumes!H476</f>
        <v>1062646.7104377104</v>
      </c>
      <c r="I225" s="590">
        <f>Volumes!I476</f>
        <v>772155.8670232439</v>
      </c>
      <c r="J225" s="590">
        <f>Volumes!J476</f>
        <v>18103</v>
      </c>
      <c r="K225" s="590">
        <f>Volumes!K476</f>
        <v>569744.6481481481</v>
      </c>
      <c r="L225" s="590">
        <f>Volumes!L476</f>
        <v>24409.2761343099</v>
      </c>
    </row>
    <row r="226" spans="2:12" ht="12.75" outlineLevel="1">
      <c r="B226" s="170" t="s">
        <v>237</v>
      </c>
      <c r="C226" s="191"/>
      <c r="D226" s="191"/>
      <c r="E226" s="590">
        <f>Volumes!E477</f>
        <v>51953</v>
      </c>
      <c r="F226" s="590">
        <f>Volumes!F477</f>
        <v>202530.66666666666</v>
      </c>
      <c r="G226" s="590">
        <f>Volumes!G477</f>
        <v>102534.11035590449</v>
      </c>
      <c r="H226" s="590">
        <f>Volumes!H477</f>
        <v>2529420.9846499716</v>
      </c>
      <c r="I226" s="590">
        <f>Volumes!I477</f>
        <v>2821905.230655969</v>
      </c>
      <c r="J226" s="590">
        <f>Volumes!J477</f>
        <v>30881.6</v>
      </c>
      <c r="K226" s="590">
        <f>Volumes!K477</f>
        <v>1914290.9144444442</v>
      </c>
      <c r="L226" s="590">
        <f>Volumes!L477</f>
        <v>51753.10552230516</v>
      </c>
    </row>
    <row r="227" spans="2:12" ht="12.75" outlineLevel="1">
      <c r="B227" s="170"/>
      <c r="C227" s="191"/>
      <c r="D227" s="191"/>
      <c r="E227" s="98"/>
      <c r="F227" s="98"/>
      <c r="G227" s="98"/>
      <c r="H227" s="98"/>
      <c r="I227" s="98"/>
      <c r="J227" s="98"/>
      <c r="K227" s="98"/>
      <c r="L227" s="98"/>
    </row>
    <row r="228" spans="2:12" ht="12.75" outlineLevel="1">
      <c r="B228" s="172" t="s">
        <v>238</v>
      </c>
      <c r="C228" s="190"/>
      <c r="D228" s="190"/>
      <c r="E228" s="98"/>
      <c r="F228" s="98"/>
      <c r="G228" s="98"/>
      <c r="H228" s="98"/>
      <c r="I228" s="98"/>
      <c r="J228" s="98"/>
      <c r="K228" s="98"/>
      <c r="L228" s="98"/>
    </row>
    <row r="229" spans="2:12" ht="12.75" outlineLevel="1">
      <c r="B229" s="170" t="s">
        <v>239</v>
      </c>
      <c r="C229" s="191"/>
      <c r="D229" s="191"/>
      <c r="E229" s="600">
        <f>Volumes!E480</f>
        <v>22611</v>
      </c>
      <c r="F229" s="600">
        <f>Volumes!F480</f>
        <v>84946</v>
      </c>
      <c r="G229" s="600">
        <f>Volumes!G480</f>
        <v>43451.231434195404</v>
      </c>
      <c r="H229" s="600">
        <f>Volumes!H480</f>
        <v>1062646.0497157113</v>
      </c>
      <c r="I229" s="600">
        <f>Volumes!I480</f>
        <v>772155.6836754975</v>
      </c>
      <c r="J229" s="600">
        <f>Volumes!J480</f>
        <v>18103</v>
      </c>
      <c r="K229" s="600">
        <f>Volumes!K480</f>
        <v>565931.5445769449</v>
      </c>
      <c r="L229" s="600">
        <f>Volumes!L480</f>
        <v>24409.2761343099</v>
      </c>
    </row>
    <row r="230" spans="2:12" ht="12.75" outlineLevel="1">
      <c r="B230" s="170" t="s">
        <v>494</v>
      </c>
      <c r="C230" s="191"/>
      <c r="D230" s="191"/>
      <c r="E230" s="600">
        <f>Volumes!E481</f>
        <v>50364</v>
      </c>
      <c r="F230" s="600">
        <f>Volumes!F481</f>
        <v>194549.58333333334</v>
      </c>
      <c r="G230" s="600">
        <f>Volumes!G481</f>
        <v>99162.72408593971</v>
      </c>
      <c r="H230" s="600">
        <f>Volumes!H481</f>
        <v>2408905.4954415876</v>
      </c>
      <c r="I230" s="600">
        <f>Volumes!I481</f>
        <v>2711549.8882688307</v>
      </c>
      <c r="J230" s="600">
        <f>Volumes!J481</f>
        <v>29703.68219178082</v>
      </c>
      <c r="K230" s="600">
        <f>Volumes!K481</f>
        <v>1863898.8691262063</v>
      </c>
      <c r="L230" s="600">
        <f>Volumes!L481</f>
        <v>48234.72570399396</v>
      </c>
    </row>
    <row r="231" spans="2:12" ht="12.75" outlineLevel="1">
      <c r="B231" s="170" t="s">
        <v>241</v>
      </c>
      <c r="C231" s="191"/>
      <c r="D231" s="191"/>
      <c r="E231" s="600">
        <f>Volumes!E482</f>
        <v>846</v>
      </c>
      <c r="F231" s="600">
        <f>Volumes!F482</f>
        <v>3799.0833333333335</v>
      </c>
      <c r="G231" s="600">
        <f>Volumes!G482</f>
        <v>1290.9004197552304</v>
      </c>
      <c r="H231" s="600">
        <f>Volumes!H482</f>
        <v>59041.9101181618</v>
      </c>
      <c r="I231" s="600">
        <f>Volumes!I482</f>
        <v>51190.79270423027</v>
      </c>
      <c r="J231" s="600">
        <f>Volumes!J482</f>
        <v>522.0794520547945</v>
      </c>
      <c r="K231" s="600">
        <f>Volumes!K482</f>
        <v>33572.31351553129</v>
      </c>
      <c r="L231" s="600">
        <f>Volumes!L482</f>
        <v>1415.5076205598832</v>
      </c>
    </row>
    <row r="232" spans="2:12" ht="12.75" outlineLevel="1">
      <c r="B232" s="170" t="s">
        <v>242</v>
      </c>
      <c r="C232" s="191"/>
      <c r="D232" s="191"/>
      <c r="E232" s="600">
        <f>Volumes!E483</f>
        <v>272</v>
      </c>
      <c r="F232" s="600">
        <f>Volumes!F483</f>
        <v>1828.9166666666667</v>
      </c>
      <c r="G232" s="600">
        <f>Volumes!G483</f>
        <v>695.4066076569875</v>
      </c>
      <c r="H232" s="600">
        <f>Volumes!H483</f>
        <v>23480.99805645699</v>
      </c>
      <c r="I232" s="600">
        <f>Volumes!I483</f>
        <v>22699.700382743133</v>
      </c>
      <c r="J232" s="600">
        <f>Volumes!J483</f>
        <v>278.358904109589</v>
      </c>
      <c r="K232" s="600">
        <f>Volumes!K483</f>
        <v>11422.241837568548</v>
      </c>
      <c r="L232" s="600">
        <f>Volumes!L483</f>
        <v>825.3782931568201</v>
      </c>
    </row>
    <row r="233" spans="2:12" ht="12.75" outlineLevel="1">
      <c r="B233" s="170" t="s">
        <v>243</v>
      </c>
      <c r="C233" s="191"/>
      <c r="D233" s="191"/>
      <c r="E233" s="600">
        <f>Volumes!E484</f>
        <v>240</v>
      </c>
      <c r="F233" s="600">
        <f>Volumes!F484</f>
        <v>1229.6666666666665</v>
      </c>
      <c r="G233" s="600">
        <f>Volumes!G484</f>
        <v>1276.248549601393</v>
      </c>
      <c r="H233" s="600">
        <f>Volumes!H484</f>
        <v>21800.589436005735</v>
      </c>
      <c r="I233" s="600">
        <f>Volumes!I484</f>
        <v>20006.56740247667</v>
      </c>
      <c r="J233" s="600">
        <f>Volumes!J484</f>
        <v>211.11780821917804</v>
      </c>
      <c r="K233" s="600">
        <f>Volumes!K484</f>
        <v>12970.429500235234</v>
      </c>
      <c r="L233" s="600">
        <f>Volumes!L484</f>
        <v>660.0514250938229</v>
      </c>
    </row>
    <row r="234" spans="2:12" ht="12.75" outlineLevel="1">
      <c r="B234" s="170" t="s">
        <v>244</v>
      </c>
      <c r="C234" s="191"/>
      <c r="D234" s="191"/>
      <c r="E234" s="600">
        <f>Volumes!E485</f>
        <v>231</v>
      </c>
      <c r="F234" s="600">
        <f>Volumes!F485</f>
        <v>1113</v>
      </c>
      <c r="G234" s="600">
        <f>Volumes!G485</f>
        <v>108.83069295116243</v>
      </c>
      <c r="H234" s="600">
        <f>Volumes!H485</f>
        <v>16621.304398226257</v>
      </c>
      <c r="I234" s="600">
        <f>Volumes!I485</f>
        <v>16457.84176890368</v>
      </c>
      <c r="J234" s="600">
        <f>Volumes!J485</f>
        <v>166.36164383561643</v>
      </c>
      <c r="K234" s="600">
        <f>Volumes!K485</f>
        <v>7482.466732909394</v>
      </c>
      <c r="L234" s="600">
        <f>Volumes!L485</f>
        <v>617.4424795006732</v>
      </c>
    </row>
    <row r="235" spans="2:12" ht="12.75" outlineLevel="1">
      <c r="B235" s="170" t="s">
        <v>247</v>
      </c>
      <c r="C235" s="192"/>
      <c r="D235" s="192"/>
      <c r="E235" s="98"/>
      <c r="F235" s="98"/>
      <c r="G235" s="98"/>
      <c r="H235" s="98"/>
      <c r="I235" s="98"/>
      <c r="J235" s="98"/>
      <c r="K235" s="98"/>
      <c r="L235" s="98"/>
    </row>
    <row r="236" spans="2:12" ht="12.75" outlineLevel="1">
      <c r="B236" s="171" t="s">
        <v>227</v>
      </c>
      <c r="C236" s="171"/>
      <c r="D236" s="171"/>
      <c r="E236" s="98"/>
      <c r="F236" s="98"/>
      <c r="G236" s="98"/>
      <c r="H236" s="98"/>
      <c r="I236" s="98"/>
      <c r="J236" s="98"/>
      <c r="K236" s="98"/>
      <c r="L236" s="98"/>
    </row>
    <row r="237" spans="2:12" ht="12.75" outlineLevel="1">
      <c r="B237" s="170" t="s">
        <v>247</v>
      </c>
      <c r="C237" s="170"/>
      <c r="D237" s="170"/>
      <c r="E237" s="98"/>
      <c r="F237" s="98"/>
      <c r="G237" s="98"/>
      <c r="H237" s="98"/>
      <c r="I237" s="98"/>
      <c r="J237" s="98"/>
      <c r="K237" s="98"/>
      <c r="L237" s="98"/>
    </row>
    <row r="238" spans="2:12" ht="12.75" outlineLevel="1">
      <c r="B238" s="169" t="s">
        <v>348</v>
      </c>
      <c r="C238" s="169"/>
      <c r="D238" s="169"/>
      <c r="E238" s="600">
        <f>Volumes!E489</f>
        <v>22611</v>
      </c>
      <c r="F238" s="600">
        <f>Volumes!F489</f>
        <v>84946</v>
      </c>
      <c r="G238" s="600">
        <f>Volumes!G489</f>
        <v>44297.611249095964</v>
      </c>
      <c r="H238" s="600">
        <f>Volumes!H489</f>
        <v>1062638.4827764828</v>
      </c>
      <c r="I238" s="600">
        <f>Volumes!I489</f>
        <v>772155.8848441471</v>
      </c>
      <c r="J238" s="600">
        <f>Volumes!J489</f>
        <v>18103</v>
      </c>
      <c r="K238" s="600">
        <f>Volumes!K489</f>
        <v>562227.8859649124</v>
      </c>
      <c r="L238" s="600">
        <f>Volumes!L489</f>
        <v>24409.2761343099</v>
      </c>
    </row>
    <row r="239" spans="2:12" ht="12.75" outlineLevel="1">
      <c r="B239" s="169" t="s">
        <v>349</v>
      </c>
      <c r="C239" s="169"/>
      <c r="D239" s="169"/>
      <c r="E239" s="600">
        <f>Volumes!E490</f>
        <v>50364</v>
      </c>
      <c r="F239" s="600">
        <f>Volumes!F490</f>
        <v>195378.583499812</v>
      </c>
      <c r="G239" s="600">
        <f>Volumes!G490</f>
        <v>99272.0752223584</v>
      </c>
      <c r="H239" s="600">
        <f>Volumes!H490</f>
        <v>2407244.50042371</v>
      </c>
      <c r="I239" s="600">
        <f>Volumes!I490</f>
        <v>2711550.16533849</v>
      </c>
      <c r="J239" s="600">
        <f>Volumes!J490</f>
        <v>29704</v>
      </c>
      <c r="K239" s="600">
        <f>Volumes!K490</f>
        <v>1838374.64358108</v>
      </c>
      <c r="L239" s="600">
        <f>Volumes!L490</f>
        <v>48234.725703994</v>
      </c>
    </row>
    <row r="240" spans="2:12" ht="12.75" outlineLevel="1">
      <c r="B240" s="169" t="s">
        <v>350</v>
      </c>
      <c r="C240" s="169"/>
      <c r="D240" s="169"/>
      <c r="E240" s="600">
        <f>Volumes!E491</f>
        <v>1589</v>
      </c>
      <c r="F240" s="600">
        <f>Volumes!F491</f>
        <v>7152.08316685507</v>
      </c>
      <c r="G240" s="600">
        <f>Volumes!G491</f>
        <v>3375.00810764053</v>
      </c>
      <c r="H240" s="600">
        <f>Volumes!H491</f>
        <v>121967.800299048</v>
      </c>
      <c r="I240" s="600">
        <f>Volumes!I491</f>
        <v>111893.63377086111</v>
      </c>
      <c r="J240" s="600">
        <f>Volumes!J491</f>
        <v>1178</v>
      </c>
      <c r="K240" s="600">
        <f>Volumes!K491</f>
        <v>79147.4470198675</v>
      </c>
      <c r="L240" s="600">
        <f>Volumes!L491</f>
        <v>3665.774202451237</v>
      </c>
    </row>
    <row r="241" spans="2:12" ht="12.75" outlineLevel="1">
      <c r="B241" s="169" t="s">
        <v>341</v>
      </c>
      <c r="C241" s="169"/>
      <c r="D241" s="169"/>
      <c r="E241" s="600">
        <f>Volumes!E492</f>
        <v>514</v>
      </c>
      <c r="F241" s="600">
        <f>Volumes!F492</f>
        <v>1797.3333333333333</v>
      </c>
      <c r="G241" s="600">
        <f>Volumes!G492</f>
        <v>657.6231129856694</v>
      </c>
      <c r="H241" s="600">
        <f>Volumes!H492</f>
        <v>12070.145313782992</v>
      </c>
      <c r="I241" s="600">
        <f>Volumes!I492</f>
        <v>23529.796768586602</v>
      </c>
      <c r="J241" s="600">
        <f>Volumes!J492</f>
        <v>256.15999999999997</v>
      </c>
      <c r="K241" s="600">
        <f>Volumes!K492</f>
        <v>14040.836240310078</v>
      </c>
      <c r="L241" s="600">
        <f>Volumes!L492</f>
        <v>991.3631659218871</v>
      </c>
    </row>
    <row r="242" spans="2:12" ht="12.75" outlineLevel="1">
      <c r="B242" s="169" t="s">
        <v>343</v>
      </c>
      <c r="C242" s="169"/>
      <c r="D242" s="169"/>
      <c r="E242" s="600">
        <f>Volumes!E493</f>
        <v>30</v>
      </c>
      <c r="F242" s="600">
        <f>Volumes!F493</f>
        <v>400.75000000000006</v>
      </c>
      <c r="G242" s="600">
        <f>Volumes!G493</f>
        <v>583.941782793161</v>
      </c>
      <c r="H242" s="600">
        <f>Volumes!H493</f>
        <v>14023.152449822903</v>
      </c>
      <c r="I242" s="600">
        <f>Volumes!I493</f>
        <v>2353.36634722222</v>
      </c>
      <c r="J242" s="600">
        <f>Volumes!J493</f>
        <v>18.73</v>
      </c>
      <c r="K242" s="600">
        <f>Volumes!K493</f>
        <v>4699.14005702082</v>
      </c>
      <c r="L242" s="600">
        <f>Volumes!L493</f>
        <v>354.91364985360326</v>
      </c>
    </row>
    <row r="243" spans="2:12" ht="12.75" outlineLevel="1">
      <c r="B243" s="169" t="s">
        <v>345</v>
      </c>
      <c r="C243" s="169"/>
      <c r="D243" s="169"/>
      <c r="E243" s="600">
        <f>Volumes!E494</f>
        <v>0</v>
      </c>
      <c r="F243" s="600">
        <f>Volumes!F494</f>
        <v>10</v>
      </c>
      <c r="G243" s="600">
        <f>Volumes!G494</f>
        <v>4.988702183775625</v>
      </c>
      <c r="H243" s="600">
        <f>Volumes!H494</f>
        <v>832.5002357337438</v>
      </c>
      <c r="I243" s="600">
        <f>Volumes!I494</f>
        <v>192.9894470426389</v>
      </c>
      <c r="J243" s="600">
        <f>Volumes!J494</f>
        <v>0</v>
      </c>
      <c r="K243" s="600">
        <f>Volumes!K494</f>
        <v>155.4660306245226</v>
      </c>
      <c r="L243" s="600">
        <f>Volumes!L494</f>
        <v>28.81530098849528</v>
      </c>
    </row>
    <row r="244" spans="2:12" s="81" customFormat="1" ht="12.75" outlineLevel="1">
      <c r="B244" s="170"/>
      <c r="C244" s="170"/>
      <c r="D244" s="170"/>
      <c r="E244" s="98"/>
      <c r="F244" s="98"/>
      <c r="G244" s="98"/>
      <c r="H244" s="98"/>
      <c r="I244" s="98"/>
      <c r="J244" s="98"/>
      <c r="K244" s="98"/>
      <c r="L244" s="98"/>
    </row>
    <row r="245" spans="2:12" ht="12.75" outlineLevel="1">
      <c r="B245" s="170" t="s">
        <v>230</v>
      </c>
      <c r="C245" s="170"/>
      <c r="D245" s="170"/>
      <c r="E245" s="600">
        <f>Volumes!E496</f>
        <v>0</v>
      </c>
      <c r="F245" s="600">
        <f>Volumes!F496</f>
        <v>146306</v>
      </c>
      <c r="G245" s="600">
        <f>Volumes!G496</f>
        <v>2834.9933333333333</v>
      </c>
      <c r="H245" s="600">
        <f>Volumes!H496</f>
        <v>200840.48307220018</v>
      </c>
      <c r="I245" s="600">
        <f>Volumes!I496</f>
        <v>766153.7973478092</v>
      </c>
      <c r="J245" s="600">
        <f>Volumes!J496</f>
        <v>5615</v>
      </c>
      <c r="K245" s="600">
        <f>Volumes!K496</f>
        <v>105135.99291762552</v>
      </c>
      <c r="L245" s="600">
        <f>Volumes!L496</f>
        <v>2300</v>
      </c>
    </row>
    <row r="246" spans="2:12" ht="12.75" outlineLevel="1">
      <c r="B246" s="170" t="s">
        <v>247</v>
      </c>
      <c r="C246" s="170"/>
      <c r="D246" s="170"/>
      <c r="E246" s="98"/>
      <c r="F246" s="98"/>
      <c r="G246" s="98"/>
      <c r="H246" s="98"/>
      <c r="I246" s="98"/>
      <c r="J246" s="98"/>
      <c r="K246" s="98"/>
      <c r="L246" s="98"/>
    </row>
    <row r="247" spans="2:12" ht="12.75" outlineLevel="1">
      <c r="B247" s="171" t="s">
        <v>229</v>
      </c>
      <c r="C247" s="171"/>
      <c r="D247" s="171"/>
      <c r="E247" s="98"/>
      <c r="F247" s="98"/>
      <c r="G247" s="98"/>
      <c r="H247" s="98"/>
      <c r="I247" s="98"/>
      <c r="J247" s="98"/>
      <c r="K247" s="98"/>
      <c r="L247" s="98"/>
    </row>
    <row r="248" spans="2:12" ht="12.75" outlineLevel="1">
      <c r="B248" s="171"/>
      <c r="C248" s="171"/>
      <c r="D248" s="171"/>
      <c r="E248" s="98"/>
      <c r="F248" s="98"/>
      <c r="G248" s="98"/>
      <c r="H248" s="98"/>
      <c r="I248" s="98"/>
      <c r="J248" s="98"/>
      <c r="K248" s="98"/>
      <c r="L248" s="98"/>
    </row>
    <row r="249" spans="2:12" ht="12.75" outlineLevel="1">
      <c r="B249" s="172" t="s">
        <v>490</v>
      </c>
      <c r="C249" s="172"/>
      <c r="D249" s="170"/>
      <c r="E249" s="98"/>
      <c r="F249" s="98"/>
      <c r="G249" s="98"/>
      <c r="H249" s="98"/>
      <c r="I249" s="98"/>
      <c r="J249" s="98"/>
      <c r="K249" s="98"/>
      <c r="L249" s="98"/>
    </row>
    <row r="250" spans="2:12" ht="12.75" outlineLevel="1">
      <c r="B250" s="169" t="s">
        <v>348</v>
      </c>
      <c r="C250" s="169"/>
      <c r="D250" s="170"/>
      <c r="E250" s="600">
        <f>Volumes!E501</f>
        <v>541.606817585407</v>
      </c>
      <c r="F250" s="600">
        <f>Volumes!F501</f>
        <v>1360</v>
      </c>
      <c r="G250" s="600">
        <f>Volumes!G501</f>
        <v>22</v>
      </c>
      <c r="H250" s="600">
        <f>Volumes!H501</f>
        <v>29519.46935483871</v>
      </c>
      <c r="I250" s="600">
        <f>Volumes!I501</f>
        <v>10610</v>
      </c>
      <c r="J250" s="600">
        <f>Volumes!J501</f>
        <v>309</v>
      </c>
      <c r="K250" s="600">
        <f>Volumes!K501</f>
        <v>16870.134756444942</v>
      </c>
      <c r="L250" s="600">
        <f>Volumes!L501</f>
        <v>456</v>
      </c>
    </row>
    <row r="251" spans="2:12" ht="12.75" outlineLevel="1">
      <c r="B251" s="169" t="s">
        <v>349</v>
      </c>
      <c r="C251" s="169"/>
      <c r="D251" s="170"/>
      <c r="E251" s="600">
        <f>Volumes!E502</f>
        <v>658.0002804638002</v>
      </c>
      <c r="F251" s="600">
        <f>Volumes!F502</f>
        <v>1868</v>
      </c>
      <c r="G251" s="600">
        <f>Volumes!G502</f>
        <v>1781</v>
      </c>
      <c r="H251" s="600">
        <f>Volumes!H502</f>
        <v>30436.47981512605</v>
      </c>
      <c r="I251" s="600">
        <f>Volumes!I502</f>
        <v>36285</v>
      </c>
      <c r="J251" s="600">
        <f>Volumes!J502</f>
        <v>315</v>
      </c>
      <c r="K251" s="600">
        <f>Volumes!K502</f>
        <v>33085.45556173802</v>
      </c>
      <c r="L251" s="600">
        <f>Volumes!L502</f>
        <v>972</v>
      </c>
    </row>
    <row r="252" spans="2:12" ht="12.75" outlineLevel="1">
      <c r="B252" s="169" t="s">
        <v>350</v>
      </c>
      <c r="C252" s="169"/>
      <c r="D252" s="170"/>
      <c r="E252" s="600">
        <f>Volumes!E503</f>
        <v>48.679241016142406</v>
      </c>
      <c r="F252" s="600">
        <f>Volumes!F503</f>
        <v>204</v>
      </c>
      <c r="G252" s="600">
        <f>Volumes!G503</f>
        <v>217</v>
      </c>
      <c r="H252" s="600">
        <f>Volumes!H503</f>
        <v>1845.7349041259718</v>
      </c>
      <c r="I252" s="600">
        <f>Volumes!I503</f>
        <v>3507</v>
      </c>
      <c r="J252" s="600">
        <f>Volumes!J503</f>
        <v>51</v>
      </c>
      <c r="K252" s="600">
        <f>Volumes!K503</f>
        <v>2907.7453779143248</v>
      </c>
      <c r="L252" s="600">
        <f>Volumes!L503</f>
        <v>113</v>
      </c>
    </row>
    <row r="253" spans="2:12" ht="12.75" outlineLevel="1">
      <c r="B253" s="169" t="s">
        <v>341</v>
      </c>
      <c r="C253" s="169"/>
      <c r="D253" s="170"/>
      <c r="E253" s="600">
        <f>Volumes!E504</f>
        <v>16.998934134863916</v>
      </c>
      <c r="F253" s="600">
        <f>Volumes!F504</f>
        <v>49</v>
      </c>
      <c r="G253" s="600">
        <f>Volumes!G504</f>
        <v>55</v>
      </c>
      <c r="H253" s="600">
        <f>Volumes!H504</f>
        <v>1273.018684988483</v>
      </c>
      <c r="I253" s="600">
        <f>Volumes!I504</f>
        <v>628</v>
      </c>
      <c r="J253" s="600">
        <f>Volumes!J504</f>
        <v>9</v>
      </c>
      <c r="K253" s="600">
        <f>Volumes!K504</f>
        <v>902.3335452064787</v>
      </c>
      <c r="L253" s="600">
        <f>Volumes!L504</f>
        <v>44</v>
      </c>
    </row>
    <row r="254" spans="2:12" ht="12.75" outlineLevel="1">
      <c r="B254" s="169" t="s">
        <v>216</v>
      </c>
      <c r="C254" s="169"/>
      <c r="D254" s="170"/>
      <c r="E254" s="600">
        <f>Volumes!E505</f>
        <v>0</v>
      </c>
      <c r="F254" s="600">
        <f>Volumes!F505</f>
        <v>11</v>
      </c>
      <c r="G254" s="600">
        <f>Volumes!G505</f>
        <v>1</v>
      </c>
      <c r="H254" s="600">
        <f>Volumes!H505</f>
        <v>217.89759846545434</v>
      </c>
      <c r="I254" s="600">
        <f>Volumes!I505</f>
        <v>85</v>
      </c>
      <c r="J254" s="600">
        <f>Volumes!J505</f>
        <v>0</v>
      </c>
      <c r="K254" s="600">
        <f>Volumes!K505</f>
        <v>120.16439889987183</v>
      </c>
      <c r="L254" s="600">
        <f>Volumes!L505</f>
        <v>27</v>
      </c>
    </row>
    <row r="255" spans="2:12" ht="12.75" outlineLevel="1">
      <c r="B255" s="44"/>
      <c r="C255" s="44"/>
      <c r="D255" s="170"/>
      <c r="E255" s="98"/>
      <c r="F255" s="98"/>
      <c r="G255" s="98"/>
      <c r="H255" s="98"/>
      <c r="I255" s="98"/>
      <c r="J255" s="98"/>
      <c r="K255" s="98"/>
      <c r="L255" s="98"/>
    </row>
    <row r="256" spans="2:12" ht="12.75" outlineLevel="1">
      <c r="B256" s="172" t="s">
        <v>491</v>
      </c>
      <c r="C256" s="172"/>
      <c r="D256" s="170"/>
      <c r="E256" s="98"/>
      <c r="F256" s="98"/>
      <c r="G256" s="98"/>
      <c r="H256" s="98"/>
      <c r="I256" s="98"/>
      <c r="J256" s="98"/>
      <c r="K256" s="98"/>
      <c r="L256" s="98"/>
    </row>
    <row r="257" spans="2:12" ht="12.75" outlineLevel="1">
      <c r="B257" s="169" t="s">
        <v>348</v>
      </c>
      <c r="C257" s="169"/>
      <c r="D257" s="170"/>
      <c r="E257" s="600">
        <f>Volumes!E508</f>
        <v>704.6697121973505</v>
      </c>
      <c r="F257" s="600">
        <f>Volumes!F508</f>
        <v>680</v>
      </c>
      <c r="G257" s="600">
        <f>Volumes!G508</f>
        <v>0</v>
      </c>
      <c r="H257" s="600">
        <f>Volumes!H508</f>
        <v>44844.573333333334</v>
      </c>
      <c r="I257" s="600">
        <f>Volumes!I508</f>
        <v>17007</v>
      </c>
      <c r="J257" s="600">
        <f>Volumes!J508</f>
        <v>261</v>
      </c>
      <c r="K257" s="600">
        <f>Volumes!K508</f>
        <v>9172.688645745211</v>
      </c>
      <c r="L257" s="600">
        <f>Volumes!L508</f>
        <v>992</v>
      </c>
    </row>
    <row r="258" spans="2:12" ht="12.75" outlineLevel="1">
      <c r="B258" s="169" t="s">
        <v>349</v>
      </c>
      <c r="C258" s="169"/>
      <c r="D258" s="170"/>
      <c r="E258" s="600">
        <f>Volumes!E509</f>
        <v>256.8350019581515</v>
      </c>
      <c r="F258" s="600">
        <f>Volumes!F509</f>
        <v>7147</v>
      </c>
      <c r="G258" s="600">
        <f>Volumes!G509</f>
        <v>600</v>
      </c>
      <c r="H258" s="600">
        <f>Volumes!H509</f>
        <v>90185.23529411765</v>
      </c>
      <c r="I258" s="600">
        <f>Volumes!I509</f>
        <v>34778</v>
      </c>
      <c r="J258" s="600">
        <f>Volumes!J509</f>
        <v>583</v>
      </c>
      <c r="K258" s="600">
        <f>Volumes!K509</f>
        <v>32266.73986069841</v>
      </c>
      <c r="L258" s="600">
        <f>Volumes!L509</f>
        <v>356</v>
      </c>
    </row>
    <row r="259" spans="2:12" ht="12.75" outlineLevel="1">
      <c r="B259" s="169" t="s">
        <v>350</v>
      </c>
      <c r="C259" s="169"/>
      <c r="D259" s="170"/>
      <c r="E259" s="600">
        <f>Volumes!E510</f>
        <v>1218.6744561070743</v>
      </c>
      <c r="F259" s="600">
        <f>Volumes!F510</f>
        <v>3465</v>
      </c>
      <c r="G259" s="600">
        <f>Volumes!G510</f>
        <v>1666.5796637309847</v>
      </c>
      <c r="H259" s="600">
        <f>Volumes!H510</f>
        <v>39048.40909090909</v>
      </c>
      <c r="I259" s="600">
        <f>Volumes!I510</f>
        <v>37476</v>
      </c>
      <c r="J259" s="600">
        <f>Volumes!J510</f>
        <v>81</v>
      </c>
      <c r="K259" s="600">
        <f>Volumes!K510</f>
        <v>24431.53039255466</v>
      </c>
      <c r="L259" s="600">
        <f>Volumes!L510</f>
        <v>3044.5</v>
      </c>
    </row>
    <row r="260" spans="2:12" ht="12.75" outlineLevel="1">
      <c r="B260" s="169" t="s">
        <v>341</v>
      </c>
      <c r="C260" s="169"/>
      <c r="D260" s="170"/>
      <c r="E260" s="600">
        <f>Volumes!E511</f>
        <v>3371.4763527398404</v>
      </c>
      <c r="F260" s="600">
        <f>Volumes!F511</f>
        <v>7613</v>
      </c>
      <c r="G260" s="600">
        <f>Volumes!G511</f>
        <v>5171</v>
      </c>
      <c r="H260" s="600">
        <f>Volumes!H511</f>
        <v>165211.04761904763</v>
      </c>
      <c r="I260" s="600">
        <f>Volumes!I511</f>
        <v>85730</v>
      </c>
      <c r="J260" s="600">
        <f>Volumes!J511</f>
        <v>1386</v>
      </c>
      <c r="K260" s="600">
        <f>Volumes!K511</f>
        <v>82910.0869943933</v>
      </c>
      <c r="L260" s="600">
        <f>Volumes!L511</f>
        <v>3346</v>
      </c>
    </row>
    <row r="261" spans="2:12" ht="12.75" outlineLevel="1">
      <c r="B261" s="169" t="s">
        <v>216</v>
      </c>
      <c r="C261" s="169"/>
      <c r="D261" s="170"/>
      <c r="E261" s="600">
        <f>Volumes!E512</f>
        <v>0</v>
      </c>
      <c r="F261" s="600">
        <f>Volumes!F512</f>
        <v>16655</v>
      </c>
      <c r="G261" s="600">
        <f>Volumes!G512</f>
        <v>0</v>
      </c>
      <c r="H261" s="600">
        <f>Volumes!H512</f>
        <v>41527.82916954221</v>
      </c>
      <c r="I261" s="600">
        <f>Volumes!I512</f>
        <v>24073.666666666668</v>
      </c>
      <c r="J261" s="600">
        <f>Volumes!J512</f>
        <v>0</v>
      </c>
      <c r="K261" s="600">
        <f>Volumes!K512</f>
        <v>18357.18003360507</v>
      </c>
      <c r="L261" s="600">
        <f>Volumes!L512</f>
        <v>948.277411344766</v>
      </c>
    </row>
    <row r="262" spans="2:12" ht="12.75" outlineLevel="1">
      <c r="B262" s="170"/>
      <c r="C262" s="170"/>
      <c r="D262" s="170"/>
      <c r="E262" s="98"/>
      <c r="F262" s="98"/>
      <c r="G262" s="98"/>
      <c r="H262" s="98"/>
      <c r="I262" s="98"/>
      <c r="J262" s="98"/>
      <c r="K262" s="98"/>
      <c r="L262" s="98"/>
    </row>
    <row r="263" spans="2:12" ht="12.75" outlineLevel="1">
      <c r="B263" s="171" t="s">
        <v>508</v>
      </c>
      <c r="C263" s="170"/>
      <c r="D263" s="170"/>
      <c r="E263" s="98"/>
      <c r="F263" s="98"/>
      <c r="G263" s="98"/>
      <c r="H263" s="98"/>
      <c r="I263" s="98"/>
      <c r="J263" s="98"/>
      <c r="K263" s="98"/>
      <c r="L263" s="98"/>
    </row>
    <row r="264" spans="2:12" ht="12.75" outlineLevel="1">
      <c r="B264" s="170" t="s">
        <v>247</v>
      </c>
      <c r="C264" s="170"/>
      <c r="D264" s="170"/>
      <c r="E264" s="98"/>
      <c r="F264" s="98"/>
      <c r="G264" s="98"/>
      <c r="H264" s="98"/>
      <c r="I264" s="98"/>
      <c r="J264" s="98"/>
      <c r="K264" s="98"/>
      <c r="L264" s="98"/>
    </row>
    <row r="265" spans="2:12" ht="12.75" outlineLevel="1">
      <c r="B265" s="170" t="s">
        <v>206</v>
      </c>
      <c r="E265" s="600">
        <f>Volumes!E516</f>
        <v>0</v>
      </c>
      <c r="F265" s="600">
        <f>Volumes!F516</f>
        <v>42560</v>
      </c>
      <c r="G265" s="600">
        <f>Volumes!G516</f>
        <v>0</v>
      </c>
      <c r="H265" s="600">
        <f>Volumes!H516</f>
        <v>63540</v>
      </c>
      <c r="I265" s="600">
        <f>Volumes!I516</f>
        <v>543754</v>
      </c>
      <c r="J265" s="600">
        <f>Volumes!J516</f>
        <v>0</v>
      </c>
      <c r="K265" s="600">
        <f>Volumes!K516</f>
        <v>452632</v>
      </c>
      <c r="L265" s="600">
        <f>Volumes!L516</f>
        <v>0</v>
      </c>
    </row>
    <row r="266" spans="2:12" ht="12.75" outlineLevel="1">
      <c r="B266" s="170" t="s">
        <v>208</v>
      </c>
      <c r="E266" s="600">
        <f>Volumes!E517</f>
        <v>0</v>
      </c>
      <c r="F266" s="600">
        <f>Volumes!F517</f>
        <v>162700</v>
      </c>
      <c r="G266" s="600">
        <f>Volumes!G517</f>
        <v>0</v>
      </c>
      <c r="H266" s="600">
        <f>Volumes!H517</f>
        <v>239700</v>
      </c>
      <c r="I266" s="600">
        <f>Volumes!I517</f>
        <v>749969</v>
      </c>
      <c r="J266" s="600">
        <f>Volumes!J517</f>
        <v>0</v>
      </c>
      <c r="K266" s="600">
        <f>Volumes!K517</f>
        <v>134264</v>
      </c>
      <c r="L266" s="600">
        <f>Volumes!L517</f>
        <v>0</v>
      </c>
    </row>
    <row r="267" spans="2:12" ht="12.75" outlineLevel="1">
      <c r="B267" s="170" t="s">
        <v>210</v>
      </c>
      <c r="E267" s="600">
        <f>Volumes!E518</f>
        <v>0</v>
      </c>
      <c r="F267" s="600">
        <f>Volumes!F518</f>
        <v>0</v>
      </c>
      <c r="G267" s="600">
        <f>Volumes!G518</f>
        <v>0</v>
      </c>
      <c r="H267" s="600">
        <f>Volumes!H518</f>
        <v>222073</v>
      </c>
      <c r="I267" s="600">
        <f>Volumes!I518</f>
        <v>0</v>
      </c>
      <c r="J267" s="600">
        <f>Volumes!J518</f>
        <v>0</v>
      </c>
      <c r="K267" s="600">
        <f>Volumes!K518</f>
        <v>0</v>
      </c>
      <c r="L267" s="600">
        <f>Volumes!L518</f>
        <v>0</v>
      </c>
    </row>
    <row r="268" spans="2:12" ht="12.75" outlineLevel="1">
      <c r="B268" s="170" t="s">
        <v>212</v>
      </c>
      <c r="E268" s="600">
        <f>Volumes!E519</f>
        <v>0</v>
      </c>
      <c r="F268" s="600">
        <f>Volumes!F519</f>
        <v>30200</v>
      </c>
      <c r="G268" s="600">
        <f>Volumes!G519</f>
        <v>3088</v>
      </c>
      <c r="H268" s="600">
        <f>Volumes!H519</f>
        <v>718243</v>
      </c>
      <c r="I268" s="600">
        <f>Volumes!I519</f>
        <v>809399.5259999993</v>
      </c>
      <c r="J268" s="600">
        <f>Volumes!J519</f>
        <v>139.336</v>
      </c>
      <c r="K268" s="600">
        <f>Volumes!K519</f>
        <v>528756</v>
      </c>
      <c r="L268" s="600">
        <f>Volumes!L519</f>
        <v>537996</v>
      </c>
    </row>
    <row r="269" spans="2:12" ht="12.75" outlineLevel="1">
      <c r="B269" s="170" t="s">
        <v>213</v>
      </c>
      <c r="E269" s="600">
        <f>Volumes!E520</f>
        <v>106</v>
      </c>
      <c r="F269" s="600">
        <f>Volumes!F520</f>
        <v>18280</v>
      </c>
      <c r="G269" s="600">
        <f>Volumes!G520</f>
        <v>4352</v>
      </c>
      <c r="H269" s="600">
        <f>Volumes!H520</f>
        <v>10694</v>
      </c>
      <c r="I269" s="600">
        <f>Volumes!I520</f>
        <v>10812</v>
      </c>
      <c r="J269" s="600">
        <f>Volumes!J520</f>
        <v>68.072</v>
      </c>
      <c r="K269" s="600">
        <f>Volumes!K520</f>
        <v>21940</v>
      </c>
      <c r="L269" s="600">
        <f>Volumes!L520</f>
        <v>34620</v>
      </c>
    </row>
    <row r="270" spans="5:12" ht="12.75" outlineLevel="1">
      <c r="E270" s="194"/>
      <c r="F270" s="194"/>
      <c r="G270" s="194"/>
      <c r="H270" s="194"/>
      <c r="I270" s="194"/>
      <c r="J270" s="194"/>
      <c r="K270" s="194"/>
      <c r="L270" s="194"/>
    </row>
    <row r="271" ht="12.75" outlineLevel="1"/>
    <row r="272" spans="2:12" s="604" customFormat="1" ht="12.75">
      <c r="B272" s="602" t="s">
        <v>24</v>
      </c>
      <c r="C272" s="603"/>
      <c r="D272" s="603"/>
      <c r="E272" s="603"/>
      <c r="F272" s="603"/>
      <c r="G272" s="603"/>
      <c r="H272" s="603"/>
      <c r="I272" s="603"/>
      <c r="J272" s="603"/>
      <c r="K272" s="603"/>
      <c r="L272" s="603"/>
    </row>
    <row r="274" ht="12.75">
      <c r="B274" s="605" t="s">
        <v>16</v>
      </c>
    </row>
    <row r="275" spans="2:12" ht="12.75">
      <c r="B275" s="189" t="s">
        <v>17</v>
      </c>
      <c r="E275" s="590">
        <f>E135+E141+E147+E153+E159+E165+E172+E179+E186</f>
        <v>2596092</v>
      </c>
      <c r="F275" s="590">
        <f aca="true" t="shared" si="2" ref="F275:L275">F135+F141+F147+F153+F159+F165+F172+F179+F186</f>
        <v>0</v>
      </c>
      <c r="G275" s="590">
        <f t="shared" si="2"/>
        <v>5511515.384615384</v>
      </c>
      <c r="H275" s="590">
        <f t="shared" si="2"/>
        <v>374036189.54545456</v>
      </c>
      <c r="I275" s="590">
        <f t="shared" si="2"/>
        <v>0</v>
      </c>
      <c r="J275" s="590">
        <f t="shared" si="2"/>
        <v>1930971</v>
      </c>
      <c r="K275" s="590">
        <f t="shared" si="2"/>
        <v>70377268.33333333</v>
      </c>
      <c r="L275" s="590">
        <f t="shared" si="2"/>
        <v>0</v>
      </c>
    </row>
    <row r="276" spans="2:12" ht="12.75">
      <c r="B276" s="189" t="s">
        <v>18</v>
      </c>
      <c r="E276" s="590">
        <f>E193</f>
        <v>632422</v>
      </c>
      <c r="F276" s="590">
        <f aca="true" t="shared" si="3" ref="F276:L276">F193</f>
        <v>0</v>
      </c>
      <c r="G276" s="590">
        <f t="shared" si="3"/>
        <v>0</v>
      </c>
      <c r="H276" s="590">
        <f t="shared" si="3"/>
        <v>1481.6666666666667</v>
      </c>
      <c r="I276" s="590">
        <f t="shared" si="3"/>
        <v>0</v>
      </c>
      <c r="J276" s="590">
        <f t="shared" si="3"/>
        <v>370744</v>
      </c>
      <c r="K276" s="590">
        <f t="shared" si="3"/>
        <v>9205931.666666666</v>
      </c>
      <c r="L276" s="590">
        <f t="shared" si="3"/>
        <v>0</v>
      </c>
    </row>
    <row r="278" ht="12.75">
      <c r="B278" s="606" t="s">
        <v>25</v>
      </c>
    </row>
    <row r="279" spans="2:12" ht="12.75">
      <c r="B279" s="198" t="s">
        <v>19</v>
      </c>
      <c r="E279" s="590">
        <f>E229*'Omzetting capaciteitstarief'!$L15</f>
        <v>1130.55</v>
      </c>
      <c r="F279" s="590">
        <f>F229*'Omzetting capaciteitstarief'!$L15</f>
        <v>4247.3</v>
      </c>
      <c r="G279" s="590">
        <f>G229*'Omzetting capaciteitstarief'!$L15</f>
        <v>2172.5615717097703</v>
      </c>
      <c r="H279" s="590">
        <f>H229*'Omzetting capaciteitstarief'!$L15</f>
        <v>53132.30248578556</v>
      </c>
      <c r="I279" s="590">
        <f>I229*'Omzetting capaciteitstarief'!$L15</f>
        <v>38607.78418377488</v>
      </c>
      <c r="J279" s="590">
        <f>J229*'Omzetting capaciteitstarief'!$L15</f>
        <v>905.1500000000001</v>
      </c>
      <c r="K279" s="590">
        <f>K229*'Omzetting capaciteitstarief'!$L15</f>
        <v>28296.577228847247</v>
      </c>
      <c r="L279" s="590">
        <f>L229*'Omzetting capaciteitstarief'!$L15</f>
        <v>1220.4638067154951</v>
      </c>
    </row>
    <row r="280" spans="2:12" ht="12.75">
      <c r="B280" s="198" t="s">
        <v>494</v>
      </c>
      <c r="E280" s="590">
        <f>E230*'Omzetting capaciteitstarief'!$L16</f>
        <v>201456</v>
      </c>
      <c r="F280" s="590">
        <f>F230*'Omzetting capaciteitstarief'!$L16</f>
        <v>778198.3333333334</v>
      </c>
      <c r="G280" s="590">
        <f>G230*'Omzetting capaciteitstarief'!$L16</f>
        <v>396650.89634375885</v>
      </c>
      <c r="H280" s="590">
        <f>H230*'Omzetting capaciteitstarief'!$L16</f>
        <v>9635621.98176635</v>
      </c>
      <c r="I280" s="590">
        <f>I230*'Omzetting capaciteitstarief'!$L16</f>
        <v>10846199.553075323</v>
      </c>
      <c r="J280" s="590">
        <f>J230*'Omzetting capaciteitstarief'!$L16</f>
        <v>118814.72876712328</v>
      </c>
      <c r="K280" s="590">
        <f>K230*'Omzetting capaciteitstarief'!$L16</f>
        <v>7455595.476504825</v>
      </c>
      <c r="L280" s="590">
        <f>L230*'Omzetting capaciteitstarief'!$L16</f>
        <v>192938.90281597583</v>
      </c>
    </row>
    <row r="281" spans="2:12" ht="12.75">
      <c r="B281" s="198" t="s">
        <v>241</v>
      </c>
      <c r="E281" s="590">
        <f>E231*'Omzetting capaciteitstarief'!$L17</f>
        <v>16920</v>
      </c>
      <c r="F281" s="590">
        <f>F231*'Omzetting capaciteitstarief'!$L17</f>
        <v>75981.66666666667</v>
      </c>
      <c r="G281" s="590">
        <f>G231*'Omzetting capaciteitstarief'!$L17</f>
        <v>25818.008395104607</v>
      </c>
      <c r="H281" s="590">
        <f>H231*'Omzetting capaciteitstarief'!$L17</f>
        <v>1180838.202363236</v>
      </c>
      <c r="I281" s="590">
        <f>I231*'Omzetting capaciteitstarief'!$L17</f>
        <v>1023815.8540846054</v>
      </c>
      <c r="J281" s="590">
        <f>J231*'Omzetting capaciteitstarief'!$L17</f>
        <v>10441.58904109589</v>
      </c>
      <c r="K281" s="590">
        <f>K231*'Omzetting capaciteitstarief'!$L17</f>
        <v>671446.2703106259</v>
      </c>
      <c r="L281" s="590">
        <f>L231*'Omzetting capaciteitstarief'!$L17</f>
        <v>28310.152411197665</v>
      </c>
    </row>
    <row r="282" spans="2:12" ht="12.75">
      <c r="B282" s="198" t="s">
        <v>242</v>
      </c>
      <c r="E282" s="590">
        <f>E232*'Omzetting capaciteitstarief'!$L18</f>
        <v>8160</v>
      </c>
      <c r="F282" s="590">
        <f>F232*'Omzetting capaciteitstarief'!$L18</f>
        <v>54867.5</v>
      </c>
      <c r="G282" s="590">
        <f>G232*'Omzetting capaciteitstarief'!$L18</f>
        <v>20862.198229709626</v>
      </c>
      <c r="H282" s="590">
        <f>H232*'Omzetting capaciteitstarief'!$L18</f>
        <v>704429.9416937097</v>
      </c>
      <c r="I282" s="590">
        <f>I232*'Omzetting capaciteitstarief'!$L18</f>
        <v>680991.011482294</v>
      </c>
      <c r="J282" s="590">
        <f>J232*'Omzetting capaciteitstarief'!$L18</f>
        <v>8350.76712328767</v>
      </c>
      <c r="K282" s="590">
        <f>K232*'Omzetting capaciteitstarief'!$L18</f>
        <v>342667.25512705644</v>
      </c>
      <c r="L282" s="590">
        <f>L232*'Omzetting capaciteitstarief'!$L18</f>
        <v>24761.3487947046</v>
      </c>
    </row>
    <row r="283" spans="2:12" ht="12.75">
      <c r="B283" s="198" t="s">
        <v>243</v>
      </c>
      <c r="E283" s="590">
        <f>E233*'Omzetting capaciteitstarief'!$L19</f>
        <v>9600</v>
      </c>
      <c r="F283" s="590">
        <f>F233*'Omzetting capaciteitstarief'!$L19</f>
        <v>49186.66666666666</v>
      </c>
      <c r="G283" s="590">
        <f>G233*'Omzetting capaciteitstarief'!$L19</f>
        <v>51049.941984055724</v>
      </c>
      <c r="H283" s="590">
        <f>H233*'Omzetting capaciteitstarief'!$L19</f>
        <v>872023.5774402295</v>
      </c>
      <c r="I283" s="590">
        <f>I233*'Omzetting capaciteitstarief'!$L19</f>
        <v>800262.6960990669</v>
      </c>
      <c r="J283" s="590">
        <f>J233*'Omzetting capaciteitstarief'!$L19</f>
        <v>8444.712328767122</v>
      </c>
      <c r="K283" s="590">
        <f>K233*'Omzetting capaciteitstarief'!$L19</f>
        <v>518817.1800094093</v>
      </c>
      <c r="L283" s="590">
        <f>L233*'Omzetting capaciteitstarief'!$L19</f>
        <v>26402.057003752918</v>
      </c>
    </row>
    <row r="284" spans="2:12" ht="12.75">
      <c r="B284" s="198" t="s">
        <v>244</v>
      </c>
      <c r="E284" s="590">
        <f>E234*'Omzetting capaciteitstarief'!$L20</f>
        <v>11550</v>
      </c>
      <c r="F284" s="590">
        <f>F234*'Omzetting capaciteitstarief'!$L20</f>
        <v>55650</v>
      </c>
      <c r="G284" s="590">
        <f>G234*'Omzetting capaciteitstarief'!$L20</f>
        <v>5441.534647558122</v>
      </c>
      <c r="H284" s="590">
        <f>H234*'Omzetting capaciteitstarief'!$L20</f>
        <v>831065.2199113128</v>
      </c>
      <c r="I284" s="590">
        <f>I234*'Omzetting capaciteitstarief'!$L20</f>
        <v>822892.0884451839</v>
      </c>
      <c r="J284" s="590">
        <f>J234*'Omzetting capaciteitstarief'!$L20</f>
        <v>8318.082191780823</v>
      </c>
      <c r="K284" s="590">
        <f>K234*'Omzetting capaciteitstarief'!$L20</f>
        <v>374123.33664546965</v>
      </c>
      <c r="L284" s="590">
        <f>L234*'Omzetting capaciteitstarief'!$L20</f>
        <v>30872.12397503366</v>
      </c>
    </row>
    <row r="285" ht="12.75">
      <c r="B285" s="215"/>
    </row>
  </sheetData>
  <printOptions/>
  <pageMargins left="0.75" right="0.75" top="1" bottom="1" header="0.5" footer="0.5"/>
  <pageSetup fitToHeight="1" fitToWidth="1" horizontalDpi="600" verticalDpi="600" orientation="portrait" paperSize="8" scale="30" r:id="rId3"/>
  <legacyDrawing r:id="rId2"/>
</worksheet>
</file>

<file path=xl/worksheets/sheet11.xml><?xml version="1.0" encoding="utf-8"?>
<worksheet xmlns="http://schemas.openxmlformats.org/spreadsheetml/2006/main" xmlns:r="http://schemas.openxmlformats.org/officeDocument/2006/relationships">
  <sheetPr codeName="Blad10">
    <pageSetUpPr fitToPage="1"/>
  </sheetPr>
  <dimension ref="B1:AG628"/>
  <sheetViews>
    <sheetView showGridLines="0" zoomScale="85" zoomScaleNormal="85" workbookViewId="0" topLeftCell="A1">
      <pane xSplit="4" ySplit="2" topLeftCell="E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outlineLevelRow="1"/>
  <cols>
    <col min="1" max="1" width="2.7109375" style="43" customWidth="1"/>
    <col min="2" max="2" width="45.28125" style="43" bestFit="1" customWidth="1"/>
    <col min="3" max="3" width="9.28125" style="43" customWidth="1"/>
    <col min="4" max="4" width="12.57421875" style="43" customWidth="1"/>
    <col min="5" max="5" width="12.57421875" style="43" bestFit="1" customWidth="1"/>
    <col min="6" max="6" width="13.8515625" style="43" customWidth="1"/>
    <col min="7" max="7" width="13.7109375" style="43" bestFit="1" customWidth="1"/>
    <col min="8" max="8" width="14.8515625" style="43" bestFit="1" customWidth="1"/>
    <col min="9" max="9" width="14.28125" style="43" bestFit="1" customWidth="1"/>
    <col min="10" max="10" width="14.7109375" style="43" bestFit="1" customWidth="1"/>
    <col min="11" max="11" width="14.8515625" style="43" bestFit="1" customWidth="1"/>
    <col min="12" max="12" width="14.28125" style="43" bestFit="1" customWidth="1"/>
    <col min="13" max="13" width="13.140625" style="43" customWidth="1"/>
    <col min="14" max="14" width="4.140625" style="43" customWidth="1"/>
    <col min="15" max="15" width="13.7109375" style="43" customWidth="1"/>
    <col min="16" max="16" width="11.7109375" style="43" customWidth="1"/>
    <col min="17" max="17" width="4.140625" style="43" customWidth="1"/>
    <col min="18" max="19" width="13.28125" style="43" customWidth="1"/>
    <col min="20" max="20" width="4.140625" style="43" customWidth="1"/>
    <col min="21" max="24" width="13.57421875" style="43" customWidth="1"/>
    <col min="25" max="16384" width="9.140625" style="43" customWidth="1"/>
  </cols>
  <sheetData>
    <row r="1" spans="15:24" ht="12.75">
      <c r="O1" s="138"/>
      <c r="P1" s="138"/>
      <c r="Q1" s="138"/>
      <c r="R1" s="138"/>
      <c r="S1" s="138"/>
      <c r="T1" s="138"/>
      <c r="U1" s="138"/>
      <c r="V1" s="138"/>
      <c r="W1" s="138"/>
      <c r="X1" s="138"/>
    </row>
    <row r="2" spans="2:24" s="41" customFormat="1" ht="156.75">
      <c r="B2" s="39" t="s">
        <v>174</v>
      </c>
      <c r="C2" s="39"/>
      <c r="D2" s="39"/>
      <c r="E2" s="4" t="s">
        <v>139</v>
      </c>
      <c r="F2" s="4" t="s">
        <v>58</v>
      </c>
      <c r="G2" s="4" t="s">
        <v>388</v>
      </c>
      <c r="H2" s="4" t="s">
        <v>141</v>
      </c>
      <c r="I2" s="4" t="s">
        <v>142</v>
      </c>
      <c r="J2" s="4" t="s">
        <v>143</v>
      </c>
      <c r="K2" s="4" t="s">
        <v>140</v>
      </c>
      <c r="L2" s="4" t="s">
        <v>59</v>
      </c>
      <c r="M2" s="40" t="s">
        <v>145</v>
      </c>
      <c r="N2" s="40"/>
      <c r="O2" s="129" t="s">
        <v>42</v>
      </c>
      <c r="P2" s="129" t="s">
        <v>43</v>
      </c>
      <c r="Q2" s="129"/>
      <c r="R2" s="129" t="s">
        <v>44</v>
      </c>
      <c r="S2" s="129" t="s">
        <v>196</v>
      </c>
      <c r="T2" s="129"/>
      <c r="U2" s="129" t="s">
        <v>507</v>
      </c>
      <c r="V2" s="129" t="s">
        <v>45</v>
      </c>
      <c r="W2" s="129" t="s">
        <v>197</v>
      </c>
      <c r="X2" s="129" t="s">
        <v>177</v>
      </c>
    </row>
    <row r="3" spans="2:24" s="90" customFormat="1" ht="20.25">
      <c r="B3" s="88"/>
      <c r="C3" s="88"/>
      <c r="D3" s="88"/>
      <c r="E3" s="89"/>
      <c r="F3" s="89"/>
      <c r="G3" s="89"/>
      <c r="H3" s="89"/>
      <c r="I3" s="89"/>
      <c r="J3" s="89"/>
      <c r="K3" s="89"/>
      <c r="L3" s="89"/>
      <c r="M3" s="89"/>
      <c r="N3" s="89"/>
      <c r="O3" s="130"/>
      <c r="P3" s="130"/>
      <c r="Q3" s="130"/>
      <c r="R3" s="130"/>
      <c r="S3" s="130"/>
      <c r="T3" s="130"/>
      <c r="U3" s="130"/>
      <c r="V3" s="130"/>
      <c r="W3" s="130"/>
      <c r="X3" s="130"/>
    </row>
    <row r="4" spans="2:24" s="42" customFormat="1" ht="12.75">
      <c r="B4" s="78" t="s">
        <v>249</v>
      </c>
      <c r="C4" s="78"/>
      <c r="D4" s="78"/>
      <c r="O4" s="131"/>
      <c r="P4" s="131"/>
      <c r="Q4" s="131"/>
      <c r="R4" s="131"/>
      <c r="S4" s="131"/>
      <c r="T4" s="131"/>
      <c r="U4" s="131"/>
      <c r="V4" s="131"/>
      <c r="W4" s="131"/>
      <c r="X4" s="131"/>
    </row>
    <row r="5" spans="5:24" s="44" customFormat="1" ht="12.75">
      <c r="E5" s="47"/>
      <c r="F5" s="47"/>
      <c r="G5" s="47"/>
      <c r="H5" s="47"/>
      <c r="I5" s="47"/>
      <c r="J5" s="47"/>
      <c r="K5" s="47"/>
      <c r="L5" s="47"/>
      <c r="M5" s="47"/>
      <c r="N5" s="47"/>
      <c r="O5" s="133"/>
      <c r="P5" s="133"/>
      <c r="Q5" s="133"/>
      <c r="R5" s="133"/>
      <c r="S5" s="133"/>
      <c r="T5" s="133"/>
      <c r="U5" s="133"/>
      <c r="V5" s="133"/>
      <c r="W5" s="133"/>
      <c r="X5" s="133"/>
    </row>
    <row r="6" spans="5:24" s="44" customFormat="1" ht="12.75">
      <c r="E6" s="200"/>
      <c r="F6" s="200"/>
      <c r="G6" s="200"/>
      <c r="H6" s="200"/>
      <c r="I6" s="200"/>
      <c r="J6" s="200"/>
      <c r="K6" s="200"/>
      <c r="L6" s="200"/>
      <c r="M6" s="47"/>
      <c r="N6" s="47"/>
      <c r="O6" s="133"/>
      <c r="P6" s="133"/>
      <c r="Q6" s="133"/>
      <c r="R6" s="133"/>
      <c r="S6" s="133"/>
      <c r="T6" s="133"/>
      <c r="U6" s="133"/>
      <c r="V6" s="133"/>
      <c r="W6" s="133"/>
      <c r="X6" s="133"/>
    </row>
    <row r="7" spans="2:24" s="44" customFormat="1" ht="12.75">
      <c r="B7" s="198" t="s">
        <v>239</v>
      </c>
      <c r="C7" s="198"/>
      <c r="D7" s="198"/>
      <c r="E7" s="201">
        <v>1</v>
      </c>
      <c r="F7" s="201">
        <v>1</v>
      </c>
      <c r="G7" s="201">
        <v>1</v>
      </c>
      <c r="H7" s="201">
        <v>1</v>
      </c>
      <c r="I7" s="201">
        <v>1</v>
      </c>
      <c r="J7" s="201">
        <v>1</v>
      </c>
      <c r="K7" s="201">
        <v>1</v>
      </c>
      <c r="L7" s="201">
        <v>1</v>
      </c>
      <c r="M7" s="202"/>
      <c r="N7" s="202"/>
      <c r="O7" s="203"/>
      <c r="P7" s="203"/>
      <c r="Q7" s="203"/>
      <c r="R7" s="203"/>
      <c r="S7" s="203"/>
      <c r="T7" s="203"/>
      <c r="U7" s="203"/>
      <c r="V7" s="203"/>
      <c r="W7" s="203"/>
      <c r="X7" s="203"/>
    </row>
    <row r="8" spans="2:24" s="44" customFormat="1" ht="12.75">
      <c r="B8" s="198" t="s">
        <v>494</v>
      </c>
      <c r="C8" s="198"/>
      <c r="D8" s="198"/>
      <c r="E8" s="201">
        <v>1</v>
      </c>
      <c r="F8" s="201">
        <v>1</v>
      </c>
      <c r="G8" s="201">
        <v>1</v>
      </c>
      <c r="H8" s="201">
        <v>1</v>
      </c>
      <c r="I8" s="201">
        <v>1</v>
      </c>
      <c r="J8" s="201">
        <v>1</v>
      </c>
      <c r="K8" s="201">
        <v>1</v>
      </c>
      <c r="L8" s="201">
        <v>1</v>
      </c>
      <c r="M8" s="202"/>
      <c r="N8" s="202"/>
      <c r="O8" s="203"/>
      <c r="P8" s="203"/>
      <c r="Q8" s="203"/>
      <c r="R8" s="203"/>
      <c r="S8" s="203"/>
      <c r="T8" s="203"/>
      <c r="U8" s="203"/>
      <c r="V8" s="203"/>
      <c r="W8" s="203"/>
      <c r="X8" s="203"/>
    </row>
    <row r="9" spans="2:24" s="44" customFormat="1" ht="12.75">
      <c r="B9" s="198" t="s">
        <v>241</v>
      </c>
      <c r="C9" s="198"/>
      <c r="D9" s="198"/>
      <c r="E9" s="201">
        <f>'Omzetting capaciteitstarief'!C17</f>
        <v>0.5337579617834395</v>
      </c>
      <c r="F9" s="201">
        <f>'Omzetting capaciteitstarief'!D17</f>
        <v>0.4940157424377891</v>
      </c>
      <c r="G9" s="201">
        <f>'Omzetting capaciteitstarief'!E17</f>
        <v>0.3881206630256884</v>
      </c>
      <c r="H9" s="201">
        <f>'Omzetting capaciteitstarief'!F17</f>
        <v>0.5052288481228364</v>
      </c>
      <c r="I9" s="201">
        <f>'Omzetting capaciteitstarief'!G17</f>
        <v>0.47404816068237055</v>
      </c>
      <c r="J9" s="201">
        <f>'Omzetting capaciteitstarief'!H17</f>
        <v>0.4630705394190871</v>
      </c>
      <c r="K9" s="201">
        <f>'Omzetting capaciteitstarief'!I17</f>
        <v>0.5301861528990248</v>
      </c>
      <c r="L9" s="201">
        <f>'Omzetting capaciteitstarief'!J17</f>
        <v>0.40305401178195494</v>
      </c>
      <c r="M9" s="92"/>
      <c r="N9" s="92"/>
      <c r="O9" s="132"/>
      <c r="P9" s="132"/>
      <c r="Q9" s="132"/>
      <c r="R9" s="132"/>
      <c r="S9" s="132"/>
      <c r="T9" s="132"/>
      <c r="U9" s="132"/>
      <c r="V9" s="132"/>
      <c r="W9" s="132"/>
      <c r="X9" s="132"/>
    </row>
    <row r="10" spans="2:24" s="44" customFormat="1" ht="12.75">
      <c r="B10" s="198" t="s">
        <v>242</v>
      </c>
      <c r="C10" s="198"/>
      <c r="D10" s="198"/>
      <c r="E10" s="201">
        <f>'Omzetting capaciteitstarief'!C18</f>
        <v>0.17070063694267515</v>
      </c>
      <c r="F10" s="201">
        <f>'Omzetting capaciteitstarief'!D18</f>
        <v>0.22170500314412087</v>
      </c>
      <c r="G10" s="201">
        <f>'Omzetting capaciteitstarief'!E18</f>
        <v>0.20270229344955215</v>
      </c>
      <c r="H10" s="201">
        <f>'Omzetting capaciteitstarief'!F18</f>
        <v>0.1978598903350068</v>
      </c>
      <c r="I10" s="201">
        <f>'Omzetting capaciteitstarief'!G18</f>
        <v>0.19375017798167657</v>
      </c>
      <c r="J10" s="201">
        <f>'Omzetting capaciteitstarief'!H18</f>
        <v>0.23494698017519594</v>
      </c>
      <c r="K10" s="201">
        <f>'Omzetting capaciteitstarief'!I18</f>
        <v>0.16986673053399406</v>
      </c>
      <c r="L10" s="201">
        <f>'Omzetting capaciteitstarief'!J18</f>
        <v>0.23700093569866074</v>
      </c>
      <c r="M10" s="92"/>
      <c r="N10" s="92"/>
      <c r="O10" s="132"/>
      <c r="P10" s="132"/>
      <c r="Q10" s="132"/>
      <c r="R10" s="132"/>
      <c r="S10" s="132"/>
      <c r="T10" s="132"/>
      <c r="U10" s="132"/>
      <c r="V10" s="132"/>
      <c r="W10" s="132"/>
      <c r="X10" s="132"/>
    </row>
    <row r="11" spans="2:24" s="44" customFormat="1" ht="12.75">
      <c r="B11" s="198" t="s">
        <v>243</v>
      </c>
      <c r="C11" s="198"/>
      <c r="D11" s="198"/>
      <c r="E11" s="201">
        <f>'Omzetting capaciteitstarief'!C19</f>
        <v>0.15286624203821655</v>
      </c>
      <c r="F11" s="201">
        <f>'Omzetting capaciteitstarief'!D19</f>
        <v>0.1565205178191652</v>
      </c>
      <c r="G11" s="201">
        <f>'Omzetting capaciteitstarief'!E19</f>
        <v>0.37390723565700373</v>
      </c>
      <c r="H11" s="201">
        <f>'Omzetting capaciteitstarief'!F19</f>
        <v>0.18040139866278246</v>
      </c>
      <c r="I11" s="201">
        <f>'Omzetting capaciteitstarief'!G19</f>
        <v>0.1917724733695495</v>
      </c>
      <c r="J11" s="201">
        <f>'Omzetting capaciteitstarief'!H19</f>
        <v>0.18321807284462885</v>
      </c>
      <c r="K11" s="201">
        <f>'Omzetting capaciteitstarief'!I19</f>
        <v>0.19984151044086138</v>
      </c>
      <c r="L11" s="201">
        <f>'Omzetting capaciteitstarief'!J19</f>
        <v>0.1994680038287087</v>
      </c>
      <c r="M11" s="92"/>
      <c r="N11" s="92"/>
      <c r="O11" s="132"/>
      <c r="P11" s="132"/>
      <c r="Q11" s="132"/>
      <c r="R11" s="132"/>
      <c r="S11" s="132"/>
      <c r="T11" s="132"/>
      <c r="U11" s="132"/>
      <c r="V11" s="132"/>
      <c r="W11" s="132"/>
      <c r="X11" s="132"/>
    </row>
    <row r="12" spans="2:24" s="44" customFormat="1" ht="12.75">
      <c r="B12" s="198" t="s">
        <v>244</v>
      </c>
      <c r="C12" s="198"/>
      <c r="D12" s="198"/>
      <c r="E12" s="201">
        <f>'Omzetting capaciteitstarief'!C20</f>
        <v>0.14267515923566879</v>
      </c>
      <c r="F12" s="201">
        <f>'Omzetting capaciteitstarief'!D20</f>
        <v>0.12774787420170886</v>
      </c>
      <c r="G12" s="201">
        <f>'Omzetting capaciteitstarief'!E20</f>
        <v>0.03526980786775514</v>
      </c>
      <c r="H12" s="201">
        <f>'Omzetting capaciteitstarief'!F20</f>
        <v>0.11651055582292726</v>
      </c>
      <c r="I12" s="201">
        <f>'Omzetting capaciteitstarief'!G20</f>
        <v>0.1404291879664033</v>
      </c>
      <c r="J12" s="201">
        <f>'Omzetting capaciteitstarief'!H20</f>
        <v>0.11876440756108807</v>
      </c>
      <c r="K12" s="201">
        <f>'Omzetting capaciteitstarief'!I20</f>
        <v>0.10010882092447956</v>
      </c>
      <c r="L12" s="201">
        <f>'Omzetting capaciteitstarief'!J20</f>
        <v>0.16047704869067578</v>
      </c>
      <c r="M12" s="92"/>
      <c r="N12" s="92"/>
      <c r="O12" s="132"/>
      <c r="P12" s="132"/>
      <c r="Q12" s="132"/>
      <c r="R12" s="132"/>
      <c r="S12" s="132"/>
      <c r="T12" s="132"/>
      <c r="U12" s="132"/>
      <c r="V12" s="132"/>
      <c r="W12" s="132"/>
      <c r="X12" s="132"/>
    </row>
    <row r="13" spans="2:24" s="44" customFormat="1" ht="12.75">
      <c r="B13" s="170"/>
      <c r="C13" s="170"/>
      <c r="D13" s="170"/>
      <c r="E13" s="91"/>
      <c r="F13" s="91"/>
      <c r="G13" s="49"/>
      <c r="H13" s="49"/>
      <c r="I13" s="91"/>
      <c r="J13" s="91"/>
      <c r="K13" s="49"/>
      <c r="L13" s="49"/>
      <c r="M13" s="47"/>
      <c r="N13" s="47"/>
      <c r="O13" s="133"/>
      <c r="P13" s="133"/>
      <c r="Q13" s="133"/>
      <c r="R13" s="133"/>
      <c r="S13" s="133"/>
      <c r="T13" s="133"/>
      <c r="U13" s="133"/>
      <c r="V13" s="133"/>
      <c r="W13" s="133"/>
      <c r="X13" s="133"/>
    </row>
    <row r="14" spans="2:24" s="44" customFormat="1" ht="12.75">
      <c r="B14" s="170"/>
      <c r="C14" s="170"/>
      <c r="D14" s="170"/>
      <c r="E14" s="91"/>
      <c r="F14" s="91"/>
      <c r="G14" s="49"/>
      <c r="H14" s="49"/>
      <c r="I14" s="91"/>
      <c r="J14" s="91"/>
      <c r="K14" s="49"/>
      <c r="L14" s="49"/>
      <c r="M14" s="47"/>
      <c r="N14" s="47"/>
      <c r="O14" s="133"/>
      <c r="P14" s="133"/>
      <c r="Q14" s="133"/>
      <c r="R14" s="133"/>
      <c r="S14" s="133"/>
      <c r="T14" s="133"/>
      <c r="U14" s="133"/>
      <c r="V14" s="133"/>
      <c r="W14" s="133"/>
      <c r="X14" s="133"/>
    </row>
    <row r="15" spans="2:24" s="42" customFormat="1" ht="12.75">
      <c r="B15" s="78" t="s">
        <v>486</v>
      </c>
      <c r="C15" s="78"/>
      <c r="D15" s="78"/>
      <c r="E15" s="204"/>
      <c r="F15" s="204"/>
      <c r="G15" s="204"/>
      <c r="H15" s="204"/>
      <c r="I15" s="204"/>
      <c r="J15" s="204"/>
      <c r="K15" s="204"/>
      <c r="L15" s="204"/>
      <c r="M15" s="204"/>
      <c r="N15" s="204"/>
      <c r="O15" s="205"/>
      <c r="P15" s="205"/>
      <c r="Q15" s="205"/>
      <c r="R15" s="205"/>
      <c r="S15" s="205"/>
      <c r="T15" s="205"/>
      <c r="U15" s="205"/>
      <c r="V15" s="205"/>
      <c r="W15" s="205"/>
      <c r="X15" s="205"/>
    </row>
    <row r="16" spans="5:24" ht="12.75">
      <c r="E16" s="65"/>
      <c r="F16" s="65"/>
      <c r="G16" s="65"/>
      <c r="H16" s="65"/>
      <c r="I16" s="65"/>
      <c r="J16" s="65"/>
      <c r="K16" s="65"/>
      <c r="L16" s="65"/>
      <c r="M16" s="65"/>
      <c r="N16" s="65"/>
      <c r="O16" s="206"/>
      <c r="P16" s="206"/>
      <c r="Q16" s="206"/>
      <c r="R16" s="206"/>
      <c r="S16" s="206"/>
      <c r="T16" s="206"/>
      <c r="U16" s="206"/>
      <c r="V16" s="206"/>
      <c r="W16" s="206"/>
      <c r="X16" s="206"/>
    </row>
    <row r="17" spans="2:24" ht="12.75">
      <c r="B17" s="279" t="s">
        <v>504</v>
      </c>
      <c r="E17" s="65"/>
      <c r="F17" s="65"/>
      <c r="G17" s="65"/>
      <c r="H17" s="65"/>
      <c r="I17" s="65"/>
      <c r="J17" s="65"/>
      <c r="K17" s="65"/>
      <c r="L17" s="65"/>
      <c r="M17" s="65"/>
      <c r="N17" s="65"/>
      <c r="O17" s="206"/>
      <c r="P17" s="206"/>
      <c r="Q17" s="206"/>
      <c r="R17" s="206"/>
      <c r="S17" s="206"/>
      <c r="T17" s="206"/>
      <c r="U17" s="206"/>
      <c r="V17" s="206"/>
      <c r="W17" s="206"/>
      <c r="X17" s="206"/>
    </row>
    <row r="18" spans="5:24" ht="12.75">
      <c r="E18" s="65"/>
      <c r="F18" s="65"/>
      <c r="G18" s="65"/>
      <c r="H18" s="65"/>
      <c r="I18" s="65"/>
      <c r="J18" s="65"/>
      <c r="K18" s="65"/>
      <c r="L18" s="65"/>
      <c r="M18" s="65"/>
      <c r="N18" s="65"/>
      <c r="O18" s="206"/>
      <c r="P18" s="206"/>
      <c r="Q18" s="206"/>
      <c r="R18" s="206"/>
      <c r="S18" s="206"/>
      <c r="T18" s="206"/>
      <c r="U18" s="206"/>
      <c r="V18" s="206"/>
      <c r="W18" s="206"/>
      <c r="X18" s="206"/>
    </row>
    <row r="19" spans="2:24" s="44" customFormat="1" ht="12.75" outlineLevel="1">
      <c r="B19" s="172" t="s">
        <v>198</v>
      </c>
      <c r="C19" s="170"/>
      <c r="D19" s="170"/>
      <c r="E19" s="65"/>
      <c r="F19" s="65"/>
      <c r="G19" s="65"/>
      <c r="H19" s="65"/>
      <c r="I19" s="65"/>
      <c r="J19" s="65"/>
      <c r="K19" s="65"/>
      <c r="L19" s="65"/>
      <c r="M19" s="65"/>
      <c r="N19" s="65"/>
      <c r="O19" s="206"/>
      <c r="P19" s="206"/>
      <c r="Q19" s="206"/>
      <c r="R19" s="206"/>
      <c r="S19" s="206"/>
      <c r="T19" s="206"/>
      <c r="U19" s="206"/>
      <c r="V19" s="206"/>
      <c r="W19" s="206"/>
      <c r="X19" s="206"/>
    </row>
    <row r="20" spans="2:24" ht="12.75" outlineLevel="1">
      <c r="B20" s="170" t="s">
        <v>199</v>
      </c>
      <c r="C20" s="170"/>
      <c r="D20" s="170"/>
      <c r="E20" s="45"/>
      <c r="F20" s="45">
        <v>10</v>
      </c>
      <c r="G20" s="46"/>
      <c r="H20" s="125">
        <f>O20+P20</f>
        <v>39.93412252964427</v>
      </c>
      <c r="I20" s="125">
        <f>R20+S20</f>
        <v>16.320472603800333</v>
      </c>
      <c r="J20" s="45"/>
      <c r="K20" s="125">
        <f>SUM(U20:X20)</f>
        <v>2.002536231884058</v>
      </c>
      <c r="L20" s="46"/>
      <c r="M20" s="125">
        <f>SUM(E20:L20)</f>
        <v>68.25713136532866</v>
      </c>
      <c r="N20" s="47"/>
      <c r="O20" s="134">
        <v>39.93412252964427</v>
      </c>
      <c r="P20" s="134"/>
      <c r="Q20" s="133"/>
      <c r="R20" s="134">
        <v>16.320472603800333</v>
      </c>
      <c r="S20" s="134"/>
      <c r="T20" s="133"/>
      <c r="U20" s="146"/>
      <c r="V20" s="141">
        <v>2.002536231884058</v>
      </c>
      <c r="W20" s="141"/>
      <c r="X20" s="141"/>
    </row>
    <row r="21" spans="2:24" ht="12.75" outlineLevel="1">
      <c r="B21" s="170" t="s">
        <v>200</v>
      </c>
      <c r="C21" s="170"/>
      <c r="D21" s="170"/>
      <c r="E21" s="45"/>
      <c r="F21" s="45">
        <v>680628</v>
      </c>
      <c r="G21" s="46"/>
      <c r="H21" s="125">
        <f>O21+P21</f>
        <v>912273.6367806505</v>
      </c>
      <c r="I21" s="125">
        <f>R21+S21</f>
        <v>582002.7219060041</v>
      </c>
      <c r="J21" s="45"/>
      <c r="K21" s="125">
        <f>SUM(U21:X21)</f>
        <v>303016.7635658915</v>
      </c>
      <c r="L21" s="46"/>
      <c r="M21" s="125">
        <f>SUM(E21:L21)</f>
        <v>2477921.122252546</v>
      </c>
      <c r="N21" s="47"/>
      <c r="O21" s="134">
        <v>912273.6367806505</v>
      </c>
      <c r="P21" s="134"/>
      <c r="Q21" s="133"/>
      <c r="R21" s="134">
        <v>582002.7219060041</v>
      </c>
      <c r="S21" s="134"/>
      <c r="T21" s="133"/>
      <c r="U21" s="146"/>
      <c r="V21" s="141">
        <v>303016.7635658915</v>
      </c>
      <c r="W21" s="141"/>
      <c r="X21" s="141"/>
    </row>
    <row r="22" spans="2:24" ht="12.75" outlineLevel="1">
      <c r="B22" s="170" t="s">
        <v>201</v>
      </c>
      <c r="C22" s="170"/>
      <c r="D22" s="170"/>
      <c r="E22" s="45"/>
      <c r="F22" s="45">
        <v>7436088</v>
      </c>
      <c r="G22" s="46"/>
      <c r="H22" s="125">
        <f>O22+P22</f>
        <v>7255148.321083175</v>
      </c>
      <c r="I22" s="125">
        <f>R22+S22</f>
        <v>6209958.783201776</v>
      </c>
      <c r="J22" s="45"/>
      <c r="K22" s="125">
        <f>SUM(U22:X22)</f>
        <v>3394729.5454545454</v>
      </c>
      <c r="L22" s="46"/>
      <c r="M22" s="125">
        <f>SUM(E22:L22)</f>
        <v>24295924.649739496</v>
      </c>
      <c r="N22" s="47"/>
      <c r="O22" s="134">
        <v>7255148.321083175</v>
      </c>
      <c r="P22" s="134"/>
      <c r="Q22" s="133"/>
      <c r="R22" s="134">
        <v>6209958.783201776</v>
      </c>
      <c r="S22" s="134"/>
      <c r="T22" s="133"/>
      <c r="U22" s="146"/>
      <c r="V22" s="141">
        <v>3394729.5454545454</v>
      </c>
      <c r="W22" s="141"/>
      <c r="X22" s="141"/>
    </row>
    <row r="23" spans="2:24" ht="12.75" outlineLevel="1">
      <c r="B23" s="170" t="s">
        <v>203</v>
      </c>
      <c r="C23" s="170"/>
      <c r="D23" s="170"/>
      <c r="E23" s="45"/>
      <c r="F23" s="45"/>
      <c r="G23" s="46"/>
      <c r="H23" s="125">
        <f>O23+P23</f>
        <v>55657345.454545446</v>
      </c>
      <c r="I23" s="125">
        <f>R23+S23</f>
        <v>0</v>
      </c>
      <c r="J23" s="45"/>
      <c r="K23" s="125">
        <f>SUM(U23:X23)</f>
        <v>-275098.03921568627</v>
      </c>
      <c r="L23" s="46"/>
      <c r="M23" s="125">
        <f>SUM(E23:L23)</f>
        <v>55382247.41532976</v>
      </c>
      <c r="N23" s="47"/>
      <c r="O23" s="134">
        <v>55657345.454545446</v>
      </c>
      <c r="P23" s="134"/>
      <c r="Q23" s="133"/>
      <c r="R23" s="134"/>
      <c r="S23" s="134"/>
      <c r="T23" s="133"/>
      <c r="U23" s="146"/>
      <c r="V23" s="141">
        <v>-275098.03921568627</v>
      </c>
      <c r="W23" s="141"/>
      <c r="X23" s="141"/>
    </row>
    <row r="24" spans="2:24" ht="12.75" outlineLevel="1">
      <c r="B24" s="170" t="s">
        <v>247</v>
      </c>
      <c r="C24" s="170"/>
      <c r="D24" s="170"/>
      <c r="E24" s="48"/>
      <c r="F24" s="48"/>
      <c r="G24" s="49"/>
      <c r="H24" s="47"/>
      <c r="I24" s="47"/>
      <c r="J24" s="48"/>
      <c r="K24" s="47"/>
      <c r="L24" s="49"/>
      <c r="M24" s="47"/>
      <c r="N24" s="47"/>
      <c r="O24" s="135"/>
      <c r="P24" s="135"/>
      <c r="Q24" s="133"/>
      <c r="R24" s="135"/>
      <c r="S24" s="135"/>
      <c r="T24" s="133"/>
      <c r="U24" s="142"/>
      <c r="V24" s="142"/>
      <c r="W24" s="142"/>
      <c r="X24" s="142"/>
    </row>
    <row r="25" spans="2:24" ht="12.75" outlineLevel="1">
      <c r="B25" s="172" t="s">
        <v>204</v>
      </c>
      <c r="C25" s="170"/>
      <c r="D25" s="170"/>
      <c r="E25" s="48"/>
      <c r="F25" s="48"/>
      <c r="G25" s="49"/>
      <c r="H25" s="47"/>
      <c r="I25" s="47"/>
      <c r="J25" s="48"/>
      <c r="K25" s="47"/>
      <c r="L25" s="49"/>
      <c r="M25" s="47"/>
      <c r="N25" s="47"/>
      <c r="O25" s="135"/>
      <c r="P25" s="135"/>
      <c r="Q25" s="133"/>
      <c r="R25" s="135"/>
      <c r="S25" s="135"/>
      <c r="T25" s="133"/>
      <c r="U25" s="142"/>
      <c r="V25" s="142"/>
      <c r="W25" s="142"/>
      <c r="X25" s="142"/>
    </row>
    <row r="26" spans="2:24" ht="12.75" outlineLevel="1">
      <c r="B26" s="170" t="s">
        <v>199</v>
      </c>
      <c r="C26" s="170"/>
      <c r="D26" s="170"/>
      <c r="E26" s="50"/>
      <c r="F26" s="50">
        <v>1</v>
      </c>
      <c r="G26" s="46"/>
      <c r="H26" s="125">
        <f>O26+P26</f>
        <v>20.892559947299077</v>
      </c>
      <c r="I26" s="125">
        <f>R26+S26</f>
        <v>9</v>
      </c>
      <c r="J26" s="50"/>
      <c r="K26" s="125">
        <f>SUM(U26:X26)</f>
        <v>5</v>
      </c>
      <c r="L26" s="46"/>
      <c r="M26" s="125">
        <f>SUM(E26:L26)</f>
        <v>35.89255994729908</v>
      </c>
      <c r="N26" s="47"/>
      <c r="O26" s="134">
        <v>20.892559947299077</v>
      </c>
      <c r="P26" s="134"/>
      <c r="Q26" s="133"/>
      <c r="R26" s="134">
        <v>9</v>
      </c>
      <c r="S26" s="134"/>
      <c r="T26" s="133"/>
      <c r="U26" s="147"/>
      <c r="V26" s="143">
        <v>2</v>
      </c>
      <c r="W26" s="143">
        <v>3</v>
      </c>
      <c r="X26" s="143"/>
    </row>
    <row r="27" spans="2:24" ht="12.75" outlineLevel="1">
      <c r="B27" s="170" t="s">
        <v>200</v>
      </c>
      <c r="C27" s="170"/>
      <c r="D27" s="170"/>
      <c r="E27" s="50"/>
      <c r="F27" s="50">
        <v>35320</v>
      </c>
      <c r="G27" s="46"/>
      <c r="H27" s="125">
        <f>O27+P27</f>
        <v>126097.18098415347</v>
      </c>
      <c r="I27" s="125">
        <f>R27+S27</f>
        <v>64100.94535519126</v>
      </c>
      <c r="J27" s="50"/>
      <c r="K27" s="125">
        <f>SUM(U27:X27)</f>
        <v>30165.46511627907</v>
      </c>
      <c r="L27" s="46"/>
      <c r="M27" s="125">
        <f>SUM(E27:L27)</f>
        <v>255683.5914556238</v>
      </c>
      <c r="N27" s="47"/>
      <c r="O27" s="134">
        <v>126097.18098415347</v>
      </c>
      <c r="P27" s="134"/>
      <c r="Q27" s="133"/>
      <c r="R27" s="134">
        <v>64100.94535519126</v>
      </c>
      <c r="S27" s="134"/>
      <c r="T27" s="133"/>
      <c r="U27" s="147"/>
      <c r="V27" s="143">
        <v>21285.46511627907</v>
      </c>
      <c r="W27" s="143">
        <v>8880</v>
      </c>
      <c r="X27" s="143"/>
    </row>
    <row r="28" spans="2:24" ht="12.75" outlineLevel="1">
      <c r="B28" s="170" t="s">
        <v>205</v>
      </c>
      <c r="C28" s="170"/>
      <c r="D28" s="170"/>
      <c r="E28" s="50"/>
      <c r="F28" s="50">
        <v>381562.85714285716</v>
      </c>
      <c r="G28" s="46"/>
      <c r="H28" s="125">
        <f>O28+P28</f>
        <v>2386427.537190084</v>
      </c>
      <c r="I28" s="125">
        <f>R28+S28</f>
        <v>980712</v>
      </c>
      <c r="J28" s="50"/>
      <c r="K28" s="125">
        <f>SUM(U28:X28)</f>
        <v>105469.91304347826</v>
      </c>
      <c r="L28" s="46"/>
      <c r="M28" s="125">
        <f>SUM(E28:L28)</f>
        <v>3854172.307376419</v>
      </c>
      <c r="N28" s="47"/>
      <c r="O28" s="134">
        <v>2386427.537190084</v>
      </c>
      <c r="P28" s="134"/>
      <c r="Q28" s="133"/>
      <c r="R28" s="134">
        <v>980712</v>
      </c>
      <c r="S28" s="134"/>
      <c r="T28" s="133"/>
      <c r="U28" s="147"/>
      <c r="V28" s="143">
        <v>2623.9130434782605</v>
      </c>
      <c r="W28" s="143">
        <v>102846</v>
      </c>
      <c r="X28" s="143"/>
    </row>
    <row r="29" spans="2:24" ht="12.75" outlineLevel="1">
      <c r="B29" s="170" t="s">
        <v>203</v>
      </c>
      <c r="C29" s="170"/>
      <c r="D29" s="170"/>
      <c r="E29" s="50"/>
      <c r="F29" s="50"/>
      <c r="G29" s="46"/>
      <c r="H29" s="125">
        <f>O29+P29</f>
        <v>12750389.090909092</v>
      </c>
      <c r="I29" s="125">
        <f>R29+S29</f>
        <v>0</v>
      </c>
      <c r="J29" s="50"/>
      <c r="K29" s="125">
        <f>SUM(U29:X29)</f>
        <v>1341372.5490196077</v>
      </c>
      <c r="L29" s="46"/>
      <c r="M29" s="125">
        <f>SUM(E29:L29)</f>
        <v>14091761.639928699</v>
      </c>
      <c r="N29" s="47"/>
      <c r="O29" s="134">
        <v>12750389.090909092</v>
      </c>
      <c r="P29" s="134"/>
      <c r="Q29" s="133"/>
      <c r="R29" s="134"/>
      <c r="S29" s="134"/>
      <c r="T29" s="133"/>
      <c r="U29" s="147"/>
      <c r="V29" s="143">
        <v>1341372.5490196077</v>
      </c>
      <c r="W29" s="143"/>
      <c r="X29" s="143"/>
    </row>
    <row r="30" spans="2:24" ht="12.75" outlineLevel="1">
      <c r="B30" s="170" t="s">
        <v>247</v>
      </c>
      <c r="C30" s="170"/>
      <c r="D30" s="170"/>
      <c r="E30" s="48"/>
      <c r="F30" s="48"/>
      <c r="G30" s="49"/>
      <c r="H30" s="47"/>
      <c r="I30" s="47"/>
      <c r="J30" s="48"/>
      <c r="K30" s="47"/>
      <c r="L30" s="49"/>
      <c r="M30" s="47"/>
      <c r="N30" s="47"/>
      <c r="O30" s="135"/>
      <c r="P30" s="135"/>
      <c r="Q30" s="133"/>
      <c r="R30" s="135"/>
      <c r="S30" s="135"/>
      <c r="T30" s="133"/>
      <c r="U30" s="142"/>
      <c r="V30" s="142"/>
      <c r="W30" s="142"/>
      <c r="X30" s="142"/>
    </row>
    <row r="31" spans="2:24" ht="12.75" outlineLevel="1">
      <c r="B31" s="172" t="s">
        <v>206</v>
      </c>
      <c r="C31" s="170"/>
      <c r="D31" s="170"/>
      <c r="E31" s="48"/>
      <c r="F31" s="48"/>
      <c r="G31" s="49"/>
      <c r="H31" s="47"/>
      <c r="I31" s="47"/>
      <c r="J31" s="48"/>
      <c r="K31" s="47"/>
      <c r="L31" s="49"/>
      <c r="M31" s="47"/>
      <c r="N31" s="47"/>
      <c r="O31" s="135"/>
      <c r="P31" s="135"/>
      <c r="Q31" s="133"/>
      <c r="R31" s="135"/>
      <c r="S31" s="135"/>
      <c r="T31" s="133"/>
      <c r="U31" s="142"/>
      <c r="V31" s="142"/>
      <c r="W31" s="142"/>
      <c r="X31" s="142"/>
    </row>
    <row r="32" spans="2:24" ht="12.75" outlineLevel="1">
      <c r="B32" s="170" t="s">
        <v>199</v>
      </c>
      <c r="C32" s="170"/>
      <c r="D32" s="170"/>
      <c r="E32" s="50"/>
      <c r="F32" s="50"/>
      <c r="G32" s="46"/>
      <c r="H32" s="125">
        <f>O32+P32</f>
        <v>0</v>
      </c>
      <c r="I32" s="125">
        <f>R32+S32</f>
        <v>7.3914288052951065</v>
      </c>
      <c r="J32" s="50"/>
      <c r="K32" s="125">
        <f>SUM(U32:X32)</f>
        <v>70.4141304347826</v>
      </c>
      <c r="L32" s="46"/>
      <c r="M32" s="125">
        <f>SUM(E32:L32)</f>
        <v>77.80555924007771</v>
      </c>
      <c r="N32" s="47"/>
      <c r="O32" s="134"/>
      <c r="P32" s="134"/>
      <c r="Q32" s="133"/>
      <c r="R32" s="134">
        <v>7.3914288052951065</v>
      </c>
      <c r="S32" s="134"/>
      <c r="T32" s="133"/>
      <c r="U32" s="147"/>
      <c r="V32" s="143">
        <v>69.4141304347826</v>
      </c>
      <c r="W32" s="143"/>
      <c r="X32" s="143">
        <v>1</v>
      </c>
    </row>
    <row r="33" spans="2:24" ht="12.75" outlineLevel="1">
      <c r="B33" s="170" t="s">
        <v>200</v>
      </c>
      <c r="C33" s="170"/>
      <c r="D33" s="170"/>
      <c r="E33" s="50"/>
      <c r="F33" s="50"/>
      <c r="G33" s="46"/>
      <c r="H33" s="125">
        <f>O33+P33</f>
        <v>0</v>
      </c>
      <c r="I33" s="125">
        <f>R33+S33</f>
        <v>35996.67533849543</v>
      </c>
      <c r="J33" s="50"/>
      <c r="K33" s="125">
        <f>SUM(U33:X33)</f>
        <v>842856.6314553991</v>
      </c>
      <c r="L33" s="46"/>
      <c r="M33" s="125">
        <f>SUM(E33:L33)</f>
        <v>878853.3067938945</v>
      </c>
      <c r="N33" s="47"/>
      <c r="O33" s="134"/>
      <c r="P33" s="134"/>
      <c r="Q33" s="133"/>
      <c r="R33" s="134">
        <v>35996.67533849543</v>
      </c>
      <c r="S33" s="134"/>
      <c r="T33" s="133"/>
      <c r="U33" s="147"/>
      <c r="V33" s="143">
        <v>837456.6314553991</v>
      </c>
      <c r="W33" s="143"/>
      <c r="X33" s="143">
        <v>5400</v>
      </c>
    </row>
    <row r="34" spans="2:24" ht="12.75" outlineLevel="1">
      <c r="B34" s="170" t="s">
        <v>201</v>
      </c>
      <c r="C34" s="170"/>
      <c r="D34" s="170"/>
      <c r="E34" s="50"/>
      <c r="F34" s="50"/>
      <c r="G34" s="46"/>
      <c r="H34" s="125">
        <f>O34+P34</f>
        <v>0</v>
      </c>
      <c r="I34" s="125">
        <f>R34+S34</f>
        <v>353644.36066527467</v>
      </c>
      <c r="J34" s="50"/>
      <c r="K34" s="125">
        <f>SUM(U34:X34)</f>
        <v>6590831</v>
      </c>
      <c r="L34" s="46"/>
      <c r="M34" s="125">
        <f>SUM(E34:L34)</f>
        <v>6944475.360665275</v>
      </c>
      <c r="N34" s="47"/>
      <c r="O34" s="134"/>
      <c r="P34" s="134"/>
      <c r="Q34" s="133"/>
      <c r="R34" s="134">
        <v>353644.36066527467</v>
      </c>
      <c r="S34" s="134"/>
      <c r="T34" s="133"/>
      <c r="U34" s="147"/>
      <c r="V34" s="143">
        <v>6536975</v>
      </c>
      <c r="W34" s="143"/>
      <c r="X34" s="143">
        <v>53856</v>
      </c>
    </row>
    <row r="35" spans="2:24" ht="12.75" outlineLevel="1">
      <c r="B35" s="170" t="s">
        <v>203</v>
      </c>
      <c r="C35" s="170"/>
      <c r="D35" s="170"/>
      <c r="E35" s="50"/>
      <c r="F35" s="50"/>
      <c r="G35" s="46"/>
      <c r="H35" s="125">
        <f>O35+P35</f>
        <v>0</v>
      </c>
      <c r="I35" s="125">
        <f>R35+S35</f>
        <v>0</v>
      </c>
      <c r="J35" s="50"/>
      <c r="K35" s="125">
        <f>SUM(U35:X35)</f>
        <v>83654313.72549018</v>
      </c>
      <c r="L35" s="46"/>
      <c r="M35" s="125">
        <f>SUM(E35:L35)</f>
        <v>83654313.72549018</v>
      </c>
      <c r="N35" s="47"/>
      <c r="O35" s="134"/>
      <c r="P35" s="134"/>
      <c r="Q35" s="133"/>
      <c r="R35" s="134"/>
      <c r="S35" s="134"/>
      <c r="T35" s="133"/>
      <c r="U35" s="147"/>
      <c r="V35" s="143">
        <v>83654313.72549018</v>
      </c>
      <c r="W35" s="143"/>
      <c r="X35" s="143"/>
    </row>
    <row r="36" spans="2:24" ht="12.75" outlineLevel="1">
      <c r="B36" s="170" t="s">
        <v>247</v>
      </c>
      <c r="C36" s="170"/>
      <c r="D36" s="170"/>
      <c r="E36" s="48"/>
      <c r="F36" s="48"/>
      <c r="G36" s="49"/>
      <c r="H36" s="47"/>
      <c r="I36" s="47"/>
      <c r="J36" s="48"/>
      <c r="K36" s="47"/>
      <c r="L36" s="49"/>
      <c r="M36" s="47"/>
      <c r="N36" s="47"/>
      <c r="O36" s="135"/>
      <c r="P36" s="135"/>
      <c r="Q36" s="133"/>
      <c r="R36" s="135"/>
      <c r="S36" s="135"/>
      <c r="T36" s="133"/>
      <c r="U36" s="142"/>
      <c r="V36" s="142"/>
      <c r="W36" s="142"/>
      <c r="X36" s="142"/>
    </row>
    <row r="37" spans="2:24" ht="12.75" outlineLevel="1">
      <c r="B37" s="172" t="s">
        <v>207</v>
      </c>
      <c r="C37" s="170"/>
      <c r="D37" s="170"/>
      <c r="E37" s="48"/>
      <c r="F37" s="48"/>
      <c r="G37" s="49"/>
      <c r="H37" s="47"/>
      <c r="I37" s="47"/>
      <c r="J37" s="48"/>
      <c r="K37" s="47"/>
      <c r="L37" s="49"/>
      <c r="M37" s="47"/>
      <c r="N37" s="47"/>
      <c r="O37" s="135"/>
      <c r="P37" s="135"/>
      <c r="Q37" s="133"/>
      <c r="R37" s="135"/>
      <c r="S37" s="135"/>
      <c r="T37" s="133"/>
      <c r="U37" s="142"/>
      <c r="V37" s="142"/>
      <c r="W37" s="142"/>
      <c r="X37" s="142"/>
    </row>
    <row r="38" spans="2:24" ht="12.75" outlineLevel="1">
      <c r="B38" s="170" t="s">
        <v>199</v>
      </c>
      <c r="C38" s="170"/>
      <c r="D38" s="170"/>
      <c r="E38" s="50"/>
      <c r="F38" s="50"/>
      <c r="G38" s="46"/>
      <c r="H38" s="125">
        <f>O38+P38</f>
        <v>0</v>
      </c>
      <c r="I38" s="125">
        <f>R38+S38</f>
        <v>9</v>
      </c>
      <c r="J38" s="50"/>
      <c r="K38" s="125">
        <f>SUM(U38:X38)</f>
        <v>10.868115942028986</v>
      </c>
      <c r="L38" s="46"/>
      <c r="M38" s="125">
        <f>SUM(E38:L38)</f>
        <v>19.868115942028986</v>
      </c>
      <c r="N38" s="47"/>
      <c r="O38" s="134"/>
      <c r="P38" s="134"/>
      <c r="Q38" s="133"/>
      <c r="R38" s="134">
        <v>9</v>
      </c>
      <c r="S38" s="134"/>
      <c r="T38" s="133"/>
      <c r="U38" s="147"/>
      <c r="V38" s="143">
        <v>10.868115942028986</v>
      </c>
      <c r="W38" s="143"/>
      <c r="X38" s="143"/>
    </row>
    <row r="39" spans="2:24" ht="12.75" outlineLevel="1">
      <c r="B39" s="170" t="s">
        <v>200</v>
      </c>
      <c r="C39" s="170"/>
      <c r="D39" s="170"/>
      <c r="E39" s="50"/>
      <c r="F39" s="50"/>
      <c r="G39" s="46"/>
      <c r="H39" s="125">
        <f>O39+P39</f>
        <v>0</v>
      </c>
      <c r="I39" s="125">
        <f>R39+S39</f>
        <v>53052.02935010483</v>
      </c>
      <c r="J39" s="50"/>
      <c r="K39" s="125">
        <f>SUM(U39:X39)</f>
        <v>238339.78873239437</v>
      </c>
      <c r="L39" s="46"/>
      <c r="M39" s="125">
        <f>SUM(E39:L39)</f>
        <v>291391.8180824992</v>
      </c>
      <c r="N39" s="47"/>
      <c r="O39" s="134"/>
      <c r="P39" s="134"/>
      <c r="Q39" s="133"/>
      <c r="R39" s="134">
        <v>53052.02935010483</v>
      </c>
      <c r="S39" s="134"/>
      <c r="T39" s="133"/>
      <c r="U39" s="147"/>
      <c r="V39" s="143">
        <v>238339.78873239437</v>
      </c>
      <c r="W39" s="143"/>
      <c r="X39" s="143"/>
    </row>
    <row r="40" spans="2:24" ht="12.75" outlineLevel="1">
      <c r="B40" s="170" t="s">
        <v>205</v>
      </c>
      <c r="C40" s="170"/>
      <c r="D40" s="170"/>
      <c r="E40" s="50"/>
      <c r="F40" s="50"/>
      <c r="G40" s="46"/>
      <c r="H40" s="125">
        <f>O40+P40</f>
        <v>0</v>
      </c>
      <c r="I40" s="125">
        <f>R40+S40</f>
        <v>939636</v>
      </c>
      <c r="J40" s="50"/>
      <c r="K40" s="125">
        <f>SUM(U40:X40)</f>
        <v>2101154.8387096776</v>
      </c>
      <c r="L40" s="46"/>
      <c r="M40" s="125">
        <f>SUM(E40:L40)</f>
        <v>3040790.8387096776</v>
      </c>
      <c r="N40" s="47"/>
      <c r="O40" s="134"/>
      <c r="P40" s="134"/>
      <c r="Q40" s="133"/>
      <c r="R40" s="134">
        <v>939636</v>
      </c>
      <c r="S40" s="134"/>
      <c r="T40" s="133"/>
      <c r="U40" s="147"/>
      <c r="V40" s="143">
        <v>2101154.8387096776</v>
      </c>
      <c r="W40" s="143"/>
      <c r="X40" s="143"/>
    </row>
    <row r="41" spans="2:24" ht="12.75" outlineLevel="1">
      <c r="B41" s="170" t="s">
        <v>203</v>
      </c>
      <c r="C41" s="170"/>
      <c r="D41" s="170"/>
      <c r="E41" s="50"/>
      <c r="F41" s="50"/>
      <c r="G41" s="46"/>
      <c r="H41" s="125">
        <f>O41+P41</f>
        <v>0</v>
      </c>
      <c r="I41" s="125">
        <f>R41+S41</f>
        <v>0</v>
      </c>
      <c r="J41" s="50"/>
      <c r="K41" s="125">
        <f>SUM(U41:X41)</f>
        <v>53723333.33333333</v>
      </c>
      <c r="L41" s="46"/>
      <c r="M41" s="125">
        <f>SUM(E41:L41)</f>
        <v>53723333.33333333</v>
      </c>
      <c r="N41" s="47"/>
      <c r="O41" s="134"/>
      <c r="P41" s="134"/>
      <c r="Q41" s="133"/>
      <c r="R41" s="134"/>
      <c r="S41" s="134"/>
      <c r="T41" s="133"/>
      <c r="U41" s="147"/>
      <c r="V41" s="143">
        <v>53723333.33333333</v>
      </c>
      <c r="W41" s="143"/>
      <c r="X41" s="143"/>
    </row>
    <row r="42" spans="2:24" ht="12.75" outlineLevel="1">
      <c r="B42" s="170" t="s">
        <v>247</v>
      </c>
      <c r="C42" s="170"/>
      <c r="D42" s="170"/>
      <c r="E42" s="51"/>
      <c r="F42" s="51"/>
      <c r="G42" s="49"/>
      <c r="H42" s="47"/>
      <c r="I42" s="47"/>
      <c r="J42" s="51"/>
      <c r="K42" s="47"/>
      <c r="L42" s="49"/>
      <c r="M42" s="47"/>
      <c r="N42" s="47"/>
      <c r="O42" s="135"/>
      <c r="P42" s="135"/>
      <c r="Q42" s="133"/>
      <c r="R42" s="135"/>
      <c r="S42" s="135"/>
      <c r="T42" s="133"/>
      <c r="U42" s="144"/>
      <c r="V42" s="144"/>
      <c r="W42" s="144"/>
      <c r="X42" s="144"/>
    </row>
    <row r="43" spans="2:24" ht="12.75" outlineLevel="1">
      <c r="B43" s="172" t="s">
        <v>208</v>
      </c>
      <c r="C43" s="170"/>
      <c r="D43" s="170"/>
      <c r="E43" s="48"/>
      <c r="F43" s="48"/>
      <c r="G43" s="49"/>
      <c r="H43" s="47"/>
      <c r="I43" s="47"/>
      <c r="J43" s="48"/>
      <c r="K43" s="47"/>
      <c r="L43" s="49"/>
      <c r="M43" s="47"/>
      <c r="N43" s="47"/>
      <c r="O43" s="135"/>
      <c r="P43" s="135"/>
      <c r="Q43" s="133"/>
      <c r="R43" s="135"/>
      <c r="S43" s="135"/>
      <c r="T43" s="133"/>
      <c r="U43" s="142"/>
      <c r="V43" s="142"/>
      <c r="W43" s="142"/>
      <c r="X43" s="142"/>
    </row>
    <row r="44" spans="2:24" ht="12.75" outlineLevel="1">
      <c r="B44" s="170" t="s">
        <v>199</v>
      </c>
      <c r="C44" s="170"/>
      <c r="D44" s="170"/>
      <c r="E44" s="50"/>
      <c r="F44" s="50">
        <v>24.416666666666657</v>
      </c>
      <c r="G44" s="46"/>
      <c r="H44" s="125">
        <f>O44+P44</f>
        <v>214.5264163372859</v>
      </c>
      <c r="I44" s="125">
        <f>R44+S44</f>
        <v>205.79317964681968</v>
      </c>
      <c r="J44" s="50"/>
      <c r="K44" s="125">
        <f>SUM(U44:X44)</f>
        <v>85.3909420289855</v>
      </c>
      <c r="L44" s="46">
        <v>1</v>
      </c>
      <c r="M44" s="125">
        <f>SUM(E44:L44)</f>
        <v>531.1272046797577</v>
      </c>
      <c r="N44" s="47"/>
      <c r="O44" s="134">
        <v>208.5264163372859</v>
      </c>
      <c r="P44" s="134">
        <v>6</v>
      </c>
      <c r="Q44" s="133"/>
      <c r="R44" s="134">
        <v>205.79317964681968</v>
      </c>
      <c r="S44" s="134"/>
      <c r="T44" s="133"/>
      <c r="U44" s="147"/>
      <c r="V44" s="143">
        <v>69.3909420289855</v>
      </c>
      <c r="W44" s="143">
        <v>15</v>
      </c>
      <c r="X44" s="143">
        <v>1</v>
      </c>
    </row>
    <row r="45" spans="2:24" ht="12.75" outlineLevel="1">
      <c r="B45" s="170" t="s">
        <v>200</v>
      </c>
      <c r="C45" s="170"/>
      <c r="D45" s="170"/>
      <c r="E45" s="50"/>
      <c r="F45" s="50">
        <v>60816.01249999998</v>
      </c>
      <c r="G45" s="46"/>
      <c r="H45" s="125">
        <f>O45+P45</f>
        <v>1436437.3924202446</v>
      </c>
      <c r="I45" s="125">
        <f>R45+S45</f>
        <v>918893.1661107216</v>
      </c>
      <c r="J45" s="50"/>
      <c r="K45" s="125">
        <f>SUM(U45:X45)</f>
        <v>321782.6197786132</v>
      </c>
      <c r="L45" s="46">
        <v>16964</v>
      </c>
      <c r="M45" s="125">
        <f>SUM(E45:L45)</f>
        <v>2754893.190809579</v>
      </c>
      <c r="N45" s="47"/>
      <c r="O45" s="134">
        <v>1419001.3924202446</v>
      </c>
      <c r="P45" s="134">
        <v>17436</v>
      </c>
      <c r="Q45" s="133"/>
      <c r="R45" s="134">
        <v>918893.1661107216</v>
      </c>
      <c r="S45" s="134"/>
      <c r="T45" s="133"/>
      <c r="U45" s="147"/>
      <c r="V45" s="143">
        <v>246347.96626984127</v>
      </c>
      <c r="W45" s="143">
        <v>68942.65350877194</v>
      </c>
      <c r="X45" s="143">
        <v>6492</v>
      </c>
    </row>
    <row r="46" spans="2:24" ht="12.75" outlineLevel="1">
      <c r="B46" s="170" t="s">
        <v>201</v>
      </c>
      <c r="C46" s="170"/>
      <c r="D46" s="170"/>
      <c r="E46" s="50"/>
      <c r="F46" s="50">
        <v>524952.6</v>
      </c>
      <c r="G46" s="46"/>
      <c r="H46" s="125">
        <f>O46+P46</f>
        <v>14398230.70652832</v>
      </c>
      <c r="I46" s="125">
        <f>R46+S46</f>
        <v>8934930.701061636</v>
      </c>
      <c r="J46" s="50"/>
      <c r="K46" s="125">
        <f>SUM(U46:X46)</f>
        <v>3136940</v>
      </c>
      <c r="L46" s="46">
        <v>170788</v>
      </c>
      <c r="M46" s="125">
        <f>SUM(E46:L46)</f>
        <v>27165842.00758996</v>
      </c>
      <c r="N46" s="47"/>
      <c r="O46" s="134">
        <v>14213010.70652832</v>
      </c>
      <c r="P46" s="134">
        <v>185220</v>
      </c>
      <c r="Q46" s="133"/>
      <c r="R46" s="134">
        <v>8934930.701061636</v>
      </c>
      <c r="S46" s="134"/>
      <c r="T46" s="133"/>
      <c r="U46" s="147"/>
      <c r="V46" s="143">
        <v>2418968.9655172415</v>
      </c>
      <c r="W46" s="143">
        <v>641531.0344827586</v>
      </c>
      <c r="X46" s="143">
        <v>76440</v>
      </c>
    </row>
    <row r="47" spans="2:24" ht="12.75" outlineLevel="1">
      <c r="B47" s="170" t="s">
        <v>203</v>
      </c>
      <c r="C47" s="170"/>
      <c r="D47" s="170"/>
      <c r="E47" s="50"/>
      <c r="F47" s="50"/>
      <c r="G47" s="46"/>
      <c r="H47" s="125">
        <f>O47+P47</f>
        <v>57994213.36363637</v>
      </c>
      <c r="I47" s="125">
        <f>R47+S47</f>
        <v>18317886.433945615</v>
      </c>
      <c r="J47" s="50"/>
      <c r="K47" s="125">
        <f>SUM(U47:X47)</f>
        <v>13224117.647058822</v>
      </c>
      <c r="L47" s="46"/>
      <c r="M47" s="125">
        <f>SUM(E47:L47)</f>
        <v>89536217.44464082</v>
      </c>
      <c r="N47" s="47"/>
      <c r="O47" s="134">
        <v>56506316.36363637</v>
      </c>
      <c r="P47" s="134">
        <v>1487897</v>
      </c>
      <c r="Q47" s="133"/>
      <c r="R47" s="134">
        <v>18317886.433945615</v>
      </c>
      <c r="S47" s="134"/>
      <c r="T47" s="133"/>
      <c r="U47" s="147"/>
      <c r="V47" s="143">
        <v>13652058.823529411</v>
      </c>
      <c r="W47" s="143">
        <v>-427941.1764705882</v>
      </c>
      <c r="X47" s="143"/>
    </row>
    <row r="48" spans="2:24" ht="12.75" outlineLevel="1">
      <c r="B48" s="170" t="s">
        <v>247</v>
      </c>
      <c r="C48" s="170"/>
      <c r="D48" s="170"/>
      <c r="E48" s="48"/>
      <c r="F48" s="48"/>
      <c r="G48" s="49"/>
      <c r="H48" s="47"/>
      <c r="I48" s="47"/>
      <c r="J48" s="48"/>
      <c r="K48" s="47"/>
      <c r="L48" s="49"/>
      <c r="M48" s="47"/>
      <c r="N48" s="47"/>
      <c r="O48" s="135"/>
      <c r="P48" s="135"/>
      <c r="Q48" s="133"/>
      <c r="R48" s="135"/>
      <c r="S48" s="135"/>
      <c r="T48" s="133"/>
      <c r="U48" s="142"/>
      <c r="V48" s="142"/>
      <c r="W48" s="142"/>
      <c r="X48" s="142"/>
    </row>
    <row r="49" spans="2:24" ht="12.75" outlineLevel="1">
      <c r="B49" s="172" t="s">
        <v>209</v>
      </c>
      <c r="C49" s="170"/>
      <c r="D49" s="170"/>
      <c r="E49" s="48"/>
      <c r="F49" s="48"/>
      <c r="G49" s="49"/>
      <c r="H49" s="47"/>
      <c r="I49" s="47"/>
      <c r="J49" s="48"/>
      <c r="K49" s="47"/>
      <c r="L49" s="49"/>
      <c r="M49" s="47"/>
      <c r="N49" s="47"/>
      <c r="O49" s="135"/>
      <c r="P49" s="135"/>
      <c r="Q49" s="133"/>
      <c r="R49" s="135"/>
      <c r="S49" s="135"/>
      <c r="T49" s="133"/>
      <c r="U49" s="142"/>
      <c r="V49" s="142"/>
      <c r="W49" s="142"/>
      <c r="X49" s="142"/>
    </row>
    <row r="50" spans="2:24" ht="12.75" outlineLevel="1">
      <c r="B50" s="170" t="s">
        <v>199</v>
      </c>
      <c r="C50" s="170"/>
      <c r="D50" s="170"/>
      <c r="E50" s="50"/>
      <c r="F50" s="50">
        <v>1</v>
      </c>
      <c r="G50" s="46"/>
      <c r="H50" s="125">
        <f>O50+P50</f>
        <v>14.946969696969697</v>
      </c>
      <c r="I50" s="125">
        <f>R50+S50</f>
        <v>8</v>
      </c>
      <c r="J50" s="50"/>
      <c r="K50" s="125">
        <f>SUM(U50:X50)</f>
        <v>3.9090579710144926</v>
      </c>
      <c r="L50" s="46"/>
      <c r="M50" s="125">
        <f>SUM(E50:L50)</f>
        <v>27.856027667984186</v>
      </c>
      <c r="N50" s="47"/>
      <c r="O50" s="134">
        <v>14.946969696969697</v>
      </c>
      <c r="P50" s="134"/>
      <c r="Q50" s="133"/>
      <c r="R50" s="134">
        <v>8</v>
      </c>
      <c r="S50" s="134"/>
      <c r="T50" s="133"/>
      <c r="U50" s="147"/>
      <c r="V50" s="143">
        <v>3.9090579710144926</v>
      </c>
      <c r="W50" s="143"/>
      <c r="X50" s="143"/>
    </row>
    <row r="51" spans="2:24" ht="12.75" outlineLevel="1">
      <c r="B51" s="170" t="s">
        <v>200</v>
      </c>
      <c r="C51" s="170"/>
      <c r="D51" s="170"/>
      <c r="E51" s="50"/>
      <c r="F51" s="50">
        <v>9300</v>
      </c>
      <c r="G51" s="46"/>
      <c r="H51" s="125">
        <f>O51+P51</f>
        <v>96262.766610698</v>
      </c>
      <c r="I51" s="125">
        <f>R51+S51</f>
        <v>25227.015873015876</v>
      </c>
      <c r="J51" s="50"/>
      <c r="K51" s="125">
        <f>SUM(U51:X51)</f>
        <v>23327.579365079364</v>
      </c>
      <c r="L51" s="46"/>
      <c r="M51" s="125">
        <f>SUM(E51:L51)</f>
        <v>154117.36184879323</v>
      </c>
      <c r="N51" s="47"/>
      <c r="O51" s="134">
        <v>96262.766610698</v>
      </c>
      <c r="P51" s="134"/>
      <c r="Q51" s="133"/>
      <c r="R51" s="134">
        <v>25227.015873015876</v>
      </c>
      <c r="S51" s="134"/>
      <c r="T51" s="133"/>
      <c r="U51" s="147"/>
      <c r="V51" s="143">
        <v>23327.579365079364</v>
      </c>
      <c r="W51" s="143"/>
      <c r="X51" s="143"/>
    </row>
    <row r="52" spans="2:24" ht="12.75" outlineLevel="1">
      <c r="B52" s="170" t="s">
        <v>205</v>
      </c>
      <c r="C52" s="170"/>
      <c r="D52" s="170"/>
      <c r="E52" s="50"/>
      <c r="F52" s="50">
        <v>168656</v>
      </c>
      <c r="G52" s="46"/>
      <c r="H52" s="125">
        <f>O52+P52</f>
        <v>1040310.9440559443</v>
      </c>
      <c r="I52" s="125">
        <f>R52+S52</f>
        <v>387708.2222222222</v>
      </c>
      <c r="J52" s="50"/>
      <c r="K52" s="125">
        <f>SUM(U52:X52)</f>
        <v>500788.5714285715</v>
      </c>
      <c r="L52" s="46"/>
      <c r="M52" s="125">
        <f>SUM(E52:L52)</f>
        <v>2097463.737706738</v>
      </c>
      <c r="N52" s="47"/>
      <c r="O52" s="134">
        <v>1040310.9440559443</v>
      </c>
      <c r="P52" s="134"/>
      <c r="Q52" s="133"/>
      <c r="R52" s="134">
        <v>387708.2222222222</v>
      </c>
      <c r="S52" s="134"/>
      <c r="T52" s="133"/>
      <c r="U52" s="147"/>
      <c r="V52" s="143">
        <v>500788.5714285715</v>
      </c>
      <c r="W52" s="143"/>
      <c r="X52" s="143"/>
    </row>
    <row r="53" spans="2:24" ht="12.75" outlineLevel="1">
      <c r="B53" s="170" t="s">
        <v>203</v>
      </c>
      <c r="C53" s="170"/>
      <c r="D53" s="170"/>
      <c r="E53" s="50"/>
      <c r="F53" s="50"/>
      <c r="G53" s="46"/>
      <c r="H53" s="125">
        <f>O53+P53</f>
        <v>153627.27272727274</v>
      </c>
      <c r="I53" s="125">
        <f>R53+S53</f>
        <v>0</v>
      </c>
      <c r="J53" s="50"/>
      <c r="K53" s="125">
        <f>SUM(U53:X53)</f>
        <v>0</v>
      </c>
      <c r="L53" s="46"/>
      <c r="M53" s="125">
        <f>SUM(E53:L53)</f>
        <v>153627.27272727274</v>
      </c>
      <c r="N53" s="47"/>
      <c r="O53" s="134">
        <v>153627.27272727274</v>
      </c>
      <c r="P53" s="134"/>
      <c r="Q53" s="133"/>
      <c r="R53" s="134"/>
      <c r="S53" s="134"/>
      <c r="T53" s="133"/>
      <c r="U53" s="147"/>
      <c r="V53" s="143"/>
      <c r="W53" s="143"/>
      <c r="X53" s="143"/>
    </row>
    <row r="54" spans="2:24" ht="12.75" outlineLevel="1">
      <c r="B54" s="170" t="s">
        <v>247</v>
      </c>
      <c r="C54" s="170"/>
      <c r="D54" s="170"/>
      <c r="E54" s="51"/>
      <c r="F54" s="51"/>
      <c r="G54" s="49"/>
      <c r="H54" s="47"/>
      <c r="I54" s="47"/>
      <c r="J54" s="51"/>
      <c r="K54" s="47"/>
      <c r="L54" s="49"/>
      <c r="M54" s="47"/>
      <c r="N54" s="47"/>
      <c r="O54" s="135"/>
      <c r="P54" s="135"/>
      <c r="Q54" s="133"/>
      <c r="R54" s="135"/>
      <c r="S54" s="135"/>
      <c r="T54" s="133"/>
      <c r="U54" s="144"/>
      <c r="V54" s="144"/>
      <c r="W54" s="144"/>
      <c r="X54" s="144"/>
    </row>
    <row r="55" spans="2:24" ht="12.75" outlineLevel="1">
      <c r="B55" s="172" t="s">
        <v>210</v>
      </c>
      <c r="C55" s="170"/>
      <c r="D55" s="170"/>
      <c r="E55" s="48"/>
      <c r="F55" s="48"/>
      <c r="G55" s="49"/>
      <c r="H55" s="47"/>
      <c r="I55" s="47"/>
      <c r="J55" s="48"/>
      <c r="K55" s="47"/>
      <c r="L55" s="49"/>
      <c r="M55" s="47"/>
      <c r="N55" s="47"/>
      <c r="O55" s="135"/>
      <c r="P55" s="135"/>
      <c r="Q55" s="133"/>
      <c r="R55" s="135"/>
      <c r="S55" s="135"/>
      <c r="T55" s="133"/>
      <c r="U55" s="142"/>
      <c r="V55" s="142"/>
      <c r="W55" s="142"/>
      <c r="X55" s="142"/>
    </row>
    <row r="56" spans="2:24" ht="12.75" outlineLevel="1">
      <c r="B56" s="170" t="s">
        <v>199</v>
      </c>
      <c r="C56" s="170"/>
      <c r="D56" s="170"/>
      <c r="E56" s="45"/>
      <c r="F56" s="52"/>
      <c r="G56" s="46"/>
      <c r="H56" s="125">
        <f>O56+P56</f>
        <v>275.2972335600908</v>
      </c>
      <c r="I56" s="125">
        <f>R56+S56</f>
        <v>0</v>
      </c>
      <c r="J56" s="45">
        <v>1</v>
      </c>
      <c r="K56" s="125">
        <f>SUM(U56:X56)</f>
        <v>1.8185941043083897</v>
      </c>
      <c r="L56" s="46"/>
      <c r="M56" s="125">
        <f>SUM(E56:L56)</f>
        <v>278.11582766439915</v>
      </c>
      <c r="N56" s="47"/>
      <c r="O56" s="134">
        <v>275.2972335600908</v>
      </c>
      <c r="P56" s="134"/>
      <c r="Q56" s="133"/>
      <c r="R56" s="134"/>
      <c r="S56" s="134"/>
      <c r="T56" s="133"/>
      <c r="U56" s="146"/>
      <c r="V56" s="141"/>
      <c r="W56" s="141">
        <v>1.8185941043083897</v>
      </c>
      <c r="X56" s="141"/>
    </row>
    <row r="57" spans="2:24" ht="12.75" outlineLevel="1">
      <c r="B57" s="170" t="s">
        <v>211</v>
      </c>
      <c r="C57" s="170"/>
      <c r="D57" s="170"/>
      <c r="E57" s="45"/>
      <c r="F57" s="52"/>
      <c r="G57" s="46"/>
      <c r="H57" s="125">
        <f>O57+P57</f>
        <v>693522.137087691</v>
      </c>
      <c r="I57" s="125">
        <f>R57+S57</f>
        <v>0</v>
      </c>
      <c r="J57" s="45">
        <v>5900</v>
      </c>
      <c r="K57" s="125">
        <f>SUM(U57:X57)</f>
        <v>6564.315789473684</v>
      </c>
      <c r="L57" s="46"/>
      <c r="M57" s="125">
        <f>SUM(E57:L57)</f>
        <v>705986.4528771647</v>
      </c>
      <c r="N57" s="47"/>
      <c r="O57" s="134">
        <v>693522.137087691</v>
      </c>
      <c r="P57" s="134"/>
      <c r="Q57" s="133"/>
      <c r="R57" s="134"/>
      <c r="S57" s="134"/>
      <c r="T57" s="133"/>
      <c r="U57" s="146"/>
      <c r="V57" s="141"/>
      <c r="W57" s="141">
        <v>6564.315789473684</v>
      </c>
      <c r="X57" s="141"/>
    </row>
    <row r="58" spans="2:24" ht="12.75" outlineLevel="1">
      <c r="B58" s="170" t="s">
        <v>201</v>
      </c>
      <c r="C58" s="170"/>
      <c r="D58" s="170"/>
      <c r="E58" s="45"/>
      <c r="F58" s="52"/>
      <c r="G58" s="46"/>
      <c r="H58" s="125">
        <f>O58+P58</f>
        <v>6702417.347789819</v>
      </c>
      <c r="I58" s="125">
        <f>R58+S58</f>
        <v>0</v>
      </c>
      <c r="J58" s="45">
        <v>65430</v>
      </c>
      <c r="K58" s="125">
        <f>SUM(U58:X58)</f>
        <v>49654.02298850575</v>
      </c>
      <c r="L58" s="46"/>
      <c r="M58" s="125">
        <f>SUM(E58:L58)</f>
        <v>6817501.370778325</v>
      </c>
      <c r="N58" s="47"/>
      <c r="O58" s="134">
        <v>6702417.347789819</v>
      </c>
      <c r="P58" s="134"/>
      <c r="Q58" s="133"/>
      <c r="R58" s="134"/>
      <c r="S58" s="134"/>
      <c r="T58" s="133"/>
      <c r="U58" s="146"/>
      <c r="V58" s="141"/>
      <c r="W58" s="141">
        <v>49654.02298850575</v>
      </c>
      <c r="X58" s="141"/>
    </row>
    <row r="59" spans="2:24" ht="12.75" outlineLevel="1">
      <c r="B59" s="170" t="s">
        <v>202</v>
      </c>
      <c r="C59" s="170"/>
      <c r="D59" s="170"/>
      <c r="E59" s="45"/>
      <c r="F59" s="52"/>
      <c r="G59" s="46"/>
      <c r="H59" s="125">
        <f>O59+P59</f>
        <v>2807015479.9154334</v>
      </c>
      <c r="I59" s="125">
        <f>R59+S59</f>
        <v>0</v>
      </c>
      <c r="J59" s="45">
        <v>5054200</v>
      </c>
      <c r="K59" s="125">
        <f>SUM(U59:X59)</f>
        <v>0</v>
      </c>
      <c r="L59" s="46"/>
      <c r="M59" s="125">
        <f>SUM(E59:L59)</f>
        <v>2812069679.9154334</v>
      </c>
      <c r="N59" s="47"/>
      <c r="O59" s="134">
        <v>2807015479.9154334</v>
      </c>
      <c r="P59" s="134"/>
      <c r="Q59" s="133"/>
      <c r="R59" s="134"/>
      <c r="S59" s="134"/>
      <c r="T59" s="133"/>
      <c r="U59" s="146"/>
      <c r="V59" s="141"/>
      <c r="W59" s="141"/>
      <c r="X59" s="141"/>
    </row>
    <row r="60" spans="2:24" ht="12.75" outlineLevel="1">
      <c r="B60" s="170" t="s">
        <v>203</v>
      </c>
      <c r="C60" s="170"/>
      <c r="D60" s="170"/>
      <c r="E60" s="45"/>
      <c r="F60" s="52"/>
      <c r="G60" s="46"/>
      <c r="H60" s="125">
        <f>O60+P60</f>
        <v>75202176.36363634</v>
      </c>
      <c r="I60" s="125">
        <f>R60+S60</f>
        <v>0</v>
      </c>
      <c r="J60" s="45">
        <v>296</v>
      </c>
      <c r="K60" s="125">
        <f>SUM(U60:X60)</f>
        <v>-79897</v>
      </c>
      <c r="L60" s="46"/>
      <c r="M60" s="125">
        <f>SUM(E60:L60)</f>
        <v>75122575.36363634</v>
      </c>
      <c r="N60" s="47"/>
      <c r="O60" s="134">
        <v>75202176.36363634</v>
      </c>
      <c r="P60" s="134"/>
      <c r="Q60" s="133"/>
      <c r="R60" s="134"/>
      <c r="S60" s="134"/>
      <c r="T60" s="133"/>
      <c r="U60" s="146"/>
      <c r="V60" s="141"/>
      <c r="W60" s="141">
        <v>-79897</v>
      </c>
      <c r="X60" s="141"/>
    </row>
    <row r="61" spans="2:24" ht="12.75" outlineLevel="1">
      <c r="B61" s="170" t="s">
        <v>247</v>
      </c>
      <c r="C61" s="170"/>
      <c r="D61" s="170"/>
      <c r="E61" s="51"/>
      <c r="F61" s="51"/>
      <c r="G61" s="49"/>
      <c r="H61" s="47"/>
      <c r="I61" s="47"/>
      <c r="J61" s="51"/>
      <c r="K61" s="47"/>
      <c r="L61" s="49"/>
      <c r="M61" s="47"/>
      <c r="N61" s="47"/>
      <c r="O61" s="135"/>
      <c r="P61" s="135"/>
      <c r="Q61" s="133"/>
      <c r="R61" s="135"/>
      <c r="S61" s="135"/>
      <c r="T61" s="133"/>
      <c r="U61" s="144"/>
      <c r="V61" s="144"/>
      <c r="W61" s="144"/>
      <c r="X61" s="144"/>
    </row>
    <row r="62" spans="2:24" ht="12.75" outlineLevel="1">
      <c r="B62" s="172" t="s">
        <v>212</v>
      </c>
      <c r="C62" s="170"/>
      <c r="D62" s="170"/>
      <c r="E62" s="48"/>
      <c r="F62" s="48"/>
      <c r="G62" s="49"/>
      <c r="H62" s="47"/>
      <c r="I62" s="47"/>
      <c r="J62" s="48"/>
      <c r="K62" s="47"/>
      <c r="L62" s="49"/>
      <c r="M62" s="47"/>
      <c r="N62" s="47"/>
      <c r="O62" s="135"/>
      <c r="P62" s="135"/>
      <c r="Q62" s="133"/>
      <c r="R62" s="135"/>
      <c r="S62" s="135"/>
      <c r="T62" s="133"/>
      <c r="U62" s="142"/>
      <c r="V62" s="142"/>
      <c r="W62" s="142"/>
      <c r="X62" s="142"/>
    </row>
    <row r="63" spans="2:24" ht="12.75" outlineLevel="1">
      <c r="B63" s="170" t="s">
        <v>199</v>
      </c>
      <c r="C63" s="170"/>
      <c r="D63" s="170"/>
      <c r="E63" s="52">
        <v>31</v>
      </c>
      <c r="F63" s="52">
        <v>315.25</v>
      </c>
      <c r="G63" s="46">
        <v>593.1092539893835</v>
      </c>
      <c r="H63" s="125">
        <f>O63+P63</f>
        <v>8152.133836322405</v>
      </c>
      <c r="I63" s="125">
        <f>R63+S63</f>
        <v>7471.463999686416</v>
      </c>
      <c r="J63" s="52">
        <v>19</v>
      </c>
      <c r="K63" s="125">
        <f>SUM(U63:X63)</f>
        <v>2059.5079365079364</v>
      </c>
      <c r="L63" s="46">
        <v>124.14865648945658</v>
      </c>
      <c r="M63" s="125">
        <f>SUM(E63:L63)</f>
        <v>18765.613682995598</v>
      </c>
      <c r="N63" s="47"/>
      <c r="O63" s="134">
        <v>8044.133836322405</v>
      </c>
      <c r="P63" s="134">
        <v>108</v>
      </c>
      <c r="Q63" s="133"/>
      <c r="R63" s="134">
        <v>7471.463999686416</v>
      </c>
      <c r="S63" s="134"/>
      <c r="T63" s="133"/>
      <c r="U63" s="136"/>
      <c r="V63" s="145">
        <v>1089.5147392290248</v>
      </c>
      <c r="W63" s="145">
        <v>946.9931972789116</v>
      </c>
      <c r="X63" s="145">
        <v>23</v>
      </c>
    </row>
    <row r="64" spans="2:24" ht="12.75" outlineLevel="1">
      <c r="B64" s="170" t="s">
        <v>211</v>
      </c>
      <c r="C64" s="170"/>
      <c r="D64" s="170"/>
      <c r="E64" s="52">
        <v>27406</v>
      </c>
      <c r="F64" s="52">
        <v>163038.25</v>
      </c>
      <c r="G64" s="46">
        <v>170243.01737086166</v>
      </c>
      <c r="H64" s="125">
        <f>O64+P64</f>
        <v>2691032.9661647147</v>
      </c>
      <c r="I64" s="125">
        <f>R64+S64</f>
        <v>3029242.1571575454</v>
      </c>
      <c r="J64" s="52">
        <v>22331.916666666668</v>
      </c>
      <c r="K64" s="125">
        <f>SUM(U64:X64)</f>
        <v>1784012.5864017145</v>
      </c>
      <c r="L64" s="46">
        <v>134688.87522740022</v>
      </c>
      <c r="M64" s="125">
        <f>SUM(E64:L64)</f>
        <v>8021995.768988903</v>
      </c>
      <c r="N64" s="47"/>
      <c r="O64" s="134">
        <v>2642725.9661647147</v>
      </c>
      <c r="P64" s="134">
        <v>48307</v>
      </c>
      <c r="Q64" s="133"/>
      <c r="R64" s="134">
        <v>3029242.1571575454</v>
      </c>
      <c r="S64" s="134"/>
      <c r="T64" s="133"/>
      <c r="U64" s="136"/>
      <c r="V64" s="145">
        <v>1184925.988700565</v>
      </c>
      <c r="W64" s="145">
        <v>582979.5977011495</v>
      </c>
      <c r="X64" s="145">
        <v>16107</v>
      </c>
    </row>
    <row r="65" spans="2:24" ht="12.75" outlineLevel="1">
      <c r="B65" s="170" t="s">
        <v>201</v>
      </c>
      <c r="C65" s="170"/>
      <c r="D65" s="170"/>
      <c r="E65" s="52">
        <v>274359</v>
      </c>
      <c r="F65" s="52">
        <v>1342584.2</v>
      </c>
      <c r="G65" s="46">
        <v>1531397.605030906</v>
      </c>
      <c r="H65" s="125">
        <f>O65+P65</f>
        <v>24479362.9313544</v>
      </c>
      <c r="I65" s="125">
        <f>R65+S65</f>
        <v>25849629.50586204</v>
      </c>
      <c r="J65" s="52">
        <v>218273</v>
      </c>
      <c r="K65" s="125">
        <f>SUM(U65:X65)</f>
        <v>13458539.682625066</v>
      </c>
      <c r="L65" s="46">
        <v>1101312.976375464</v>
      </c>
      <c r="M65" s="125">
        <f>SUM(E65:L65)</f>
        <v>68255458.90124787</v>
      </c>
      <c r="N65" s="47"/>
      <c r="O65" s="134">
        <v>23998666.9313544</v>
      </c>
      <c r="P65" s="134">
        <v>480696</v>
      </c>
      <c r="Q65" s="133"/>
      <c r="R65" s="134">
        <v>25849629.50586204</v>
      </c>
      <c r="S65" s="134"/>
      <c r="T65" s="133"/>
      <c r="U65" s="136"/>
      <c r="V65" s="145">
        <v>8490600.591715977</v>
      </c>
      <c r="W65" s="145">
        <v>4870559.090909091</v>
      </c>
      <c r="X65" s="145">
        <v>97380</v>
      </c>
    </row>
    <row r="66" spans="2:24" ht="12.75" outlineLevel="1">
      <c r="B66" s="170" t="s">
        <v>202</v>
      </c>
      <c r="C66" s="170"/>
      <c r="D66" s="170"/>
      <c r="E66" s="52">
        <v>99246802</v>
      </c>
      <c r="F66" s="52">
        <v>439948595.29999995</v>
      </c>
      <c r="G66" s="46">
        <v>552429592.0526769</v>
      </c>
      <c r="H66" s="125">
        <f>O66+P66</f>
        <v>7673394276.090908</v>
      </c>
      <c r="I66" s="125">
        <f>R66+S66</f>
        <v>8290932321.064467</v>
      </c>
      <c r="J66" s="52">
        <v>80215075</v>
      </c>
      <c r="K66" s="125">
        <f>SUM(U66:X66)</f>
        <v>4646872337.728938</v>
      </c>
      <c r="L66" s="46">
        <v>314965717.6974478</v>
      </c>
      <c r="M66" s="125">
        <f>SUM(E66:L66)</f>
        <v>22098004716.93444</v>
      </c>
      <c r="N66" s="47"/>
      <c r="O66" s="134">
        <v>7513598349.090908</v>
      </c>
      <c r="P66" s="134">
        <v>159795927</v>
      </c>
      <c r="Q66" s="133"/>
      <c r="R66" s="134">
        <v>8290932321.064467</v>
      </c>
      <c r="S66" s="134"/>
      <c r="T66" s="133"/>
      <c r="U66" s="136"/>
      <c r="V66" s="145">
        <v>2940447211.5384617</v>
      </c>
      <c r="W66" s="145">
        <v>1678542976.1904762</v>
      </c>
      <c r="X66" s="145">
        <v>27882150</v>
      </c>
    </row>
    <row r="67" spans="2:24" ht="12.75" outlineLevel="1">
      <c r="B67" s="170" t="s">
        <v>203</v>
      </c>
      <c r="C67" s="170"/>
      <c r="D67" s="170"/>
      <c r="E67" s="52">
        <v>2059440</v>
      </c>
      <c r="F67" s="52"/>
      <c r="G67" s="46">
        <v>8233301.574021314</v>
      </c>
      <c r="H67" s="125">
        <f>O67+P67</f>
        <v>275567169.3636363</v>
      </c>
      <c r="I67" s="125">
        <f>R67+S67</f>
        <v>6011116.256519199</v>
      </c>
      <c r="J67" s="52">
        <v>2608404</v>
      </c>
      <c r="K67" s="125">
        <f>SUM(U67:X67)</f>
        <v>81780196.07843137</v>
      </c>
      <c r="L67" s="46"/>
      <c r="M67" s="125">
        <f>SUM(E67:L67)</f>
        <v>376259627.2726082</v>
      </c>
      <c r="N67" s="47"/>
      <c r="O67" s="134">
        <v>271079616.3636363</v>
      </c>
      <c r="P67" s="134">
        <v>4487553</v>
      </c>
      <c r="Q67" s="133"/>
      <c r="R67" s="134">
        <v>6011116.256519199</v>
      </c>
      <c r="S67" s="134"/>
      <c r="T67" s="133"/>
      <c r="U67" s="136"/>
      <c r="V67" s="145">
        <v>40597352.94117647</v>
      </c>
      <c r="W67" s="145">
        <v>41182843.1372549</v>
      </c>
      <c r="X67" s="145"/>
    </row>
    <row r="68" spans="2:24" ht="12.75" outlineLevel="1">
      <c r="B68" s="170" t="s">
        <v>247</v>
      </c>
      <c r="C68" s="170"/>
      <c r="D68" s="170"/>
      <c r="E68" s="48"/>
      <c r="F68" s="48"/>
      <c r="G68" s="49"/>
      <c r="H68" s="47"/>
      <c r="I68" s="47"/>
      <c r="J68" s="48"/>
      <c r="K68" s="47"/>
      <c r="L68" s="49"/>
      <c r="M68" s="47"/>
      <c r="N68" s="47"/>
      <c r="O68" s="135"/>
      <c r="P68" s="135"/>
      <c r="Q68" s="133"/>
      <c r="R68" s="135"/>
      <c r="S68" s="135"/>
      <c r="T68" s="133"/>
      <c r="U68" s="142"/>
      <c r="V68" s="142"/>
      <c r="W68" s="142"/>
      <c r="X68" s="142"/>
    </row>
    <row r="69" spans="2:24" ht="12.75" outlineLevel="1">
      <c r="B69" s="172" t="s">
        <v>213</v>
      </c>
      <c r="C69" s="170"/>
      <c r="D69" s="170"/>
      <c r="E69" s="48"/>
      <c r="F69" s="48"/>
      <c r="G69" s="49"/>
      <c r="H69" s="47"/>
      <c r="I69" s="47"/>
      <c r="J69" s="48"/>
      <c r="K69" s="47"/>
      <c r="L69" s="49"/>
      <c r="M69" s="47"/>
      <c r="N69" s="47"/>
      <c r="O69" s="135"/>
      <c r="P69" s="135"/>
      <c r="Q69" s="133"/>
      <c r="R69" s="135"/>
      <c r="S69" s="135"/>
      <c r="T69" s="133"/>
      <c r="U69" s="142"/>
      <c r="V69" s="142"/>
      <c r="W69" s="142"/>
      <c r="X69" s="142"/>
    </row>
    <row r="70" spans="2:24" ht="12.75" outlineLevel="1">
      <c r="B70" s="170" t="s">
        <v>199</v>
      </c>
      <c r="C70" s="170"/>
      <c r="D70" s="170"/>
      <c r="E70" s="52">
        <v>189</v>
      </c>
      <c r="F70" s="52">
        <v>1227.1666666666667</v>
      </c>
      <c r="G70" s="46">
        <v>755.0271222970613</v>
      </c>
      <c r="H70" s="125">
        <f>O70+P70</f>
        <v>13875.097274788704</v>
      </c>
      <c r="I70" s="125">
        <f>R70+S70</f>
        <v>13559.465422288691</v>
      </c>
      <c r="J70" s="52">
        <v>127.5</v>
      </c>
      <c r="K70" s="125">
        <f>SUM(U70:X70)</f>
        <v>7355.700680272108</v>
      </c>
      <c r="L70" s="46">
        <v>1234.7275149812124</v>
      </c>
      <c r="M70" s="125">
        <f>SUM(E70:L70)</f>
        <v>38323.68468129444</v>
      </c>
      <c r="N70" s="47"/>
      <c r="O70" s="134">
        <v>13596.097274788704</v>
      </c>
      <c r="P70" s="134">
        <v>279</v>
      </c>
      <c r="Q70" s="133"/>
      <c r="R70" s="134">
        <v>13559.465422288691</v>
      </c>
      <c r="S70" s="134"/>
      <c r="T70" s="133"/>
      <c r="U70" s="136"/>
      <c r="V70" s="145">
        <v>3298.1814058956916</v>
      </c>
      <c r="W70" s="145">
        <v>3905.519274376417</v>
      </c>
      <c r="X70" s="145">
        <v>152</v>
      </c>
    </row>
    <row r="71" spans="2:24" ht="12.75" outlineLevel="1">
      <c r="B71" s="170" t="s">
        <v>211</v>
      </c>
      <c r="C71" s="170"/>
      <c r="D71" s="170"/>
      <c r="E71" s="52">
        <v>36884</v>
      </c>
      <c r="F71" s="52">
        <v>117252.25</v>
      </c>
      <c r="G71" s="46">
        <v>37065.86513259692</v>
      </c>
      <c r="H71" s="125">
        <f>O71+P71</f>
        <v>1001458.4281879193</v>
      </c>
      <c r="I71" s="125">
        <f>R71+S71</f>
        <v>1244157.8635049441</v>
      </c>
      <c r="J71" s="52">
        <v>20380.166666666668</v>
      </c>
      <c r="K71" s="125">
        <f>SUM(U71:X71)</f>
        <v>844498.1324289405</v>
      </c>
      <c r="L71" s="46">
        <v>286608.8256281273</v>
      </c>
      <c r="M71" s="125">
        <f>SUM(E71:L71)</f>
        <v>3588305.531549195</v>
      </c>
      <c r="N71" s="47"/>
      <c r="O71" s="134">
        <v>975505.4281879193</v>
      </c>
      <c r="P71" s="134">
        <v>25953</v>
      </c>
      <c r="Q71" s="133"/>
      <c r="R71" s="134">
        <v>1244157.8635049441</v>
      </c>
      <c r="S71" s="134"/>
      <c r="T71" s="133"/>
      <c r="U71" s="136"/>
      <c r="V71" s="145">
        <v>449638.0490956072</v>
      </c>
      <c r="W71" s="145">
        <v>359977.0833333333</v>
      </c>
      <c r="X71" s="145">
        <v>34883</v>
      </c>
    </row>
    <row r="72" spans="2:24" ht="12.75" outlineLevel="1">
      <c r="B72" s="170" t="s">
        <v>201</v>
      </c>
      <c r="C72" s="170"/>
      <c r="D72" s="170"/>
      <c r="E72" s="52">
        <v>343533</v>
      </c>
      <c r="F72" s="52">
        <v>949240</v>
      </c>
      <c r="G72" s="46">
        <v>271896.2500415578</v>
      </c>
      <c r="H72" s="125">
        <f>O72+P72</f>
        <v>8069353.959183672</v>
      </c>
      <c r="I72" s="125">
        <f>R72+S72</f>
        <v>9606120.00190151</v>
      </c>
      <c r="J72" s="52">
        <v>192959</v>
      </c>
      <c r="K72" s="125">
        <f>SUM(U72:X72)</f>
        <v>5953177.367043214</v>
      </c>
      <c r="L72" s="46">
        <v>2111305.541156277</v>
      </c>
      <c r="M72" s="125">
        <f>SUM(E72:L72)</f>
        <v>27497585.119326226</v>
      </c>
      <c r="N72" s="47"/>
      <c r="O72" s="134">
        <v>7854745.959183672</v>
      </c>
      <c r="P72" s="134">
        <v>214608</v>
      </c>
      <c r="Q72" s="133"/>
      <c r="R72" s="134">
        <v>9606120.00190151</v>
      </c>
      <c r="S72" s="134"/>
      <c r="T72" s="133"/>
      <c r="U72" s="136"/>
      <c r="V72" s="145">
        <v>2980413.609467456</v>
      </c>
      <c r="W72" s="145">
        <v>2767875.7575757573</v>
      </c>
      <c r="X72" s="145">
        <v>204888</v>
      </c>
    </row>
    <row r="73" spans="2:24" ht="12.75" outlineLevel="1">
      <c r="B73" s="170" t="s">
        <v>202</v>
      </c>
      <c r="C73" s="170"/>
      <c r="D73" s="170"/>
      <c r="E73" s="52">
        <v>95770032</v>
      </c>
      <c r="F73" s="52">
        <v>253035750.8</v>
      </c>
      <c r="G73" s="46">
        <v>72247391.8932347</v>
      </c>
      <c r="H73" s="125">
        <f>O73+P73</f>
        <v>2174199787.1764703</v>
      </c>
      <c r="I73" s="125">
        <f>R73+S73</f>
        <v>2550767257.1899257</v>
      </c>
      <c r="J73" s="52">
        <v>51341646</v>
      </c>
      <c r="K73" s="125">
        <f>SUM(U73:X73)</f>
        <v>1682140123.2490845</v>
      </c>
      <c r="L73" s="46">
        <v>557775692.8716384</v>
      </c>
      <c r="M73" s="125">
        <f>SUM(E73:L73)</f>
        <v>7437277681.180354</v>
      </c>
      <c r="N73" s="47"/>
      <c r="O73" s="134">
        <v>2114867341.1764703</v>
      </c>
      <c r="P73" s="134">
        <v>59332446</v>
      </c>
      <c r="Q73" s="133"/>
      <c r="R73" s="134">
        <v>2550767257.1899257</v>
      </c>
      <c r="S73" s="134"/>
      <c r="T73" s="133"/>
      <c r="U73" s="136"/>
      <c r="V73" s="145">
        <v>845967596.1538461</v>
      </c>
      <c r="W73" s="145">
        <v>778992738.0952382</v>
      </c>
      <c r="X73" s="145">
        <v>57179789</v>
      </c>
    </row>
    <row r="74" spans="2:24" ht="12.75" outlineLevel="1">
      <c r="B74" s="170" t="s">
        <v>203</v>
      </c>
      <c r="C74" s="170"/>
      <c r="D74" s="170"/>
      <c r="E74" s="52">
        <v>1509207</v>
      </c>
      <c r="F74" s="52"/>
      <c r="G74" s="46">
        <v>154174.96908329273</v>
      </c>
      <c r="H74" s="125">
        <f>O74+P74</f>
        <v>40773203.81818183</v>
      </c>
      <c r="I74" s="125">
        <f>R74+S74</f>
        <v>0</v>
      </c>
      <c r="J74" s="52">
        <v>1021367</v>
      </c>
      <c r="K74" s="125">
        <f>SUM(U74:X74)</f>
        <v>19404705.88235294</v>
      </c>
      <c r="L74" s="46"/>
      <c r="M74" s="125">
        <f>SUM(E74:L74)</f>
        <v>62862658.66961806</v>
      </c>
      <c r="N74" s="47"/>
      <c r="O74" s="134">
        <v>39146021.81818183</v>
      </c>
      <c r="P74" s="134">
        <v>1627182</v>
      </c>
      <c r="Q74" s="133"/>
      <c r="R74" s="134"/>
      <c r="S74" s="134"/>
      <c r="T74" s="133"/>
      <c r="U74" s="136"/>
      <c r="V74" s="145">
        <v>3533627.450980392</v>
      </c>
      <c r="W74" s="145">
        <v>15871078.431372548</v>
      </c>
      <c r="X74" s="145"/>
    </row>
    <row r="75" spans="2:24" ht="12.75" outlineLevel="1">
      <c r="B75" s="170" t="s">
        <v>247</v>
      </c>
      <c r="C75" s="170"/>
      <c r="D75" s="170"/>
      <c r="E75" s="48"/>
      <c r="F75" s="48"/>
      <c r="G75" s="49"/>
      <c r="H75" s="47"/>
      <c r="I75" s="47"/>
      <c r="J75" s="48"/>
      <c r="K75" s="47"/>
      <c r="L75" s="49"/>
      <c r="M75" s="47"/>
      <c r="N75" s="47"/>
      <c r="O75" s="135"/>
      <c r="P75" s="135"/>
      <c r="Q75" s="133"/>
      <c r="R75" s="135"/>
      <c r="S75" s="135"/>
      <c r="T75" s="133"/>
      <c r="U75" s="142"/>
      <c r="V75" s="142"/>
      <c r="W75" s="142"/>
      <c r="X75" s="142"/>
    </row>
    <row r="76" spans="2:24" ht="12.75" outlineLevel="1">
      <c r="B76" s="172" t="s">
        <v>214</v>
      </c>
      <c r="C76" s="170"/>
      <c r="D76" s="170"/>
      <c r="E76" s="48"/>
      <c r="F76" s="48"/>
      <c r="G76" s="49"/>
      <c r="H76" s="47"/>
      <c r="I76" s="47"/>
      <c r="J76" s="48"/>
      <c r="K76" s="47"/>
      <c r="L76" s="49"/>
      <c r="M76" s="47"/>
      <c r="N76" s="47"/>
      <c r="O76" s="135"/>
      <c r="P76" s="135"/>
      <c r="Q76" s="133"/>
      <c r="R76" s="135"/>
      <c r="S76" s="135"/>
      <c r="T76" s="133"/>
      <c r="U76" s="142"/>
      <c r="V76" s="142"/>
      <c r="W76" s="142"/>
      <c r="X76" s="142"/>
    </row>
    <row r="77" spans="2:24" ht="12.75" outlineLevel="1">
      <c r="B77" s="170" t="s">
        <v>199</v>
      </c>
      <c r="C77" s="170"/>
      <c r="D77" s="170"/>
      <c r="E77" s="53">
        <v>307</v>
      </c>
      <c r="F77" s="52">
        <v>452</v>
      </c>
      <c r="G77" s="46"/>
      <c r="H77" s="125">
        <f>O77+P77</f>
        <v>3762.6042424242423</v>
      </c>
      <c r="I77" s="125">
        <f>R77+S77</f>
        <v>6205.047002888674</v>
      </c>
      <c r="J77" s="52">
        <v>87.8</v>
      </c>
      <c r="K77" s="125">
        <f>SUM(U77:X77)</f>
        <v>15650.888888888887</v>
      </c>
      <c r="L77" s="46">
        <v>138.20678770560357</v>
      </c>
      <c r="M77" s="125">
        <f>SUM(E77:L77)</f>
        <v>26603.546921907408</v>
      </c>
      <c r="N77" s="47"/>
      <c r="O77" s="134">
        <v>3762.6042424242423</v>
      </c>
      <c r="P77" s="134"/>
      <c r="Q77" s="133"/>
      <c r="R77" s="134">
        <v>6205.047002888674</v>
      </c>
      <c r="S77" s="134"/>
      <c r="T77" s="133"/>
      <c r="U77" s="136"/>
      <c r="V77" s="145">
        <v>7237.61111111111</v>
      </c>
      <c r="W77" s="145">
        <v>8258.277777777777</v>
      </c>
      <c r="X77" s="145">
        <v>155</v>
      </c>
    </row>
    <row r="78" spans="2:24" ht="12.75" outlineLevel="1">
      <c r="B78" s="170" t="s">
        <v>211</v>
      </c>
      <c r="C78" s="170"/>
      <c r="D78" s="170"/>
      <c r="E78" s="53">
        <v>23466</v>
      </c>
      <c r="F78" s="52">
        <v>22460</v>
      </c>
      <c r="G78" s="46"/>
      <c r="H78" s="125">
        <f>O78+P78</f>
        <v>91165.26094957672</v>
      </c>
      <c r="I78" s="125">
        <f>R78+S78</f>
        <v>232486.42784652006</v>
      </c>
      <c r="J78" s="52">
        <v>5437.75</v>
      </c>
      <c r="K78" s="125">
        <f>SUM(U78:X78)</f>
        <v>911695.8828828827</v>
      </c>
      <c r="L78" s="46">
        <v>22424.59495861271</v>
      </c>
      <c r="M78" s="125">
        <f>SUM(E78:L78)</f>
        <v>1309135.9166375923</v>
      </c>
      <c r="N78" s="47"/>
      <c r="O78" s="134">
        <v>91165.26094957672</v>
      </c>
      <c r="P78" s="134"/>
      <c r="Q78" s="133"/>
      <c r="R78" s="134">
        <v>232486.42784652006</v>
      </c>
      <c r="S78" s="134"/>
      <c r="T78" s="133"/>
      <c r="U78" s="136"/>
      <c r="V78" s="145">
        <v>878001.5765765765</v>
      </c>
      <c r="W78" s="145">
        <v>18981.306306306305</v>
      </c>
      <c r="X78" s="145">
        <v>14713</v>
      </c>
    </row>
    <row r="79" spans="2:24" ht="12.75" outlineLevel="1">
      <c r="B79" s="170" t="s">
        <v>221</v>
      </c>
      <c r="C79" s="170"/>
      <c r="D79" s="170"/>
      <c r="E79" s="53">
        <v>15955565</v>
      </c>
      <c r="F79" s="52">
        <v>8221796</v>
      </c>
      <c r="G79" s="46"/>
      <c r="H79" s="125">
        <f>O79+P79</f>
        <v>70996576.92307693</v>
      </c>
      <c r="I79" s="125">
        <f>R79+S79</f>
        <v>168146152.7017957</v>
      </c>
      <c r="J79" s="52">
        <v>4904362</v>
      </c>
      <c r="K79" s="125">
        <f>SUM(U79:X79)</f>
        <v>621859274.1731215</v>
      </c>
      <c r="L79" s="46">
        <v>6139185.238235198</v>
      </c>
      <c r="M79" s="125">
        <f>SUM(E79:L79)</f>
        <v>896222912.0362294</v>
      </c>
      <c r="N79" s="47"/>
      <c r="O79" s="134">
        <v>70996576.92307693</v>
      </c>
      <c r="P79" s="134"/>
      <c r="Q79" s="133"/>
      <c r="R79" s="134">
        <v>157710186.98805785</v>
      </c>
      <c r="S79" s="134">
        <v>10435965.713737857</v>
      </c>
      <c r="T79" s="133"/>
      <c r="U79" s="136"/>
      <c r="V79" s="145">
        <v>598440955.0561798</v>
      </c>
      <c r="W79" s="145">
        <v>17337700.11694174</v>
      </c>
      <c r="X79" s="145">
        <v>6080619</v>
      </c>
    </row>
    <row r="80" spans="2:24" ht="12.75" outlineLevel="1">
      <c r="B80" s="170" t="s">
        <v>202</v>
      </c>
      <c r="C80" s="170"/>
      <c r="D80" s="170"/>
      <c r="E80" s="53">
        <v>32687208</v>
      </c>
      <c r="F80" s="52">
        <v>15989867.466666667</v>
      </c>
      <c r="G80" s="46"/>
      <c r="H80" s="125">
        <f>O80+P80</f>
        <v>106841993.3110368</v>
      </c>
      <c r="I80" s="125">
        <f>R80+S80</f>
        <v>265824582.64424253</v>
      </c>
      <c r="J80" s="52">
        <v>9112678</v>
      </c>
      <c r="K80" s="125">
        <f>SUM(U80:X80)</f>
        <v>988489442.97208</v>
      </c>
      <c r="L80" s="46">
        <v>7890424.120565626</v>
      </c>
      <c r="M80" s="125">
        <f>SUM(E80:L80)</f>
        <v>1426836196.5145917</v>
      </c>
      <c r="N80" s="47"/>
      <c r="O80" s="134">
        <v>106841993.3110368</v>
      </c>
      <c r="P80" s="134"/>
      <c r="Q80" s="133"/>
      <c r="R80" s="134">
        <v>251651524.92596</v>
      </c>
      <c r="S80" s="134">
        <v>14173057.718282532</v>
      </c>
      <c r="T80" s="133"/>
      <c r="U80" s="136"/>
      <c r="V80" s="145">
        <v>950862016.8067225</v>
      </c>
      <c r="W80" s="145">
        <v>25298420.165357523</v>
      </c>
      <c r="X80" s="145">
        <v>12329006</v>
      </c>
    </row>
    <row r="81" spans="2:24" ht="12.75" outlineLevel="1">
      <c r="B81" s="170" t="s">
        <v>203</v>
      </c>
      <c r="C81" s="170"/>
      <c r="D81" s="170"/>
      <c r="E81" s="53">
        <v>812096</v>
      </c>
      <c r="F81" s="52"/>
      <c r="G81" s="46"/>
      <c r="H81" s="125">
        <f>O81+P81</f>
        <v>0</v>
      </c>
      <c r="I81" s="125">
        <f>R81+S81</f>
        <v>0</v>
      </c>
      <c r="J81" s="52">
        <v>230229</v>
      </c>
      <c r="K81" s="125">
        <f>SUM(U81:X81)</f>
        <v>19147941.17647059</v>
      </c>
      <c r="L81" s="46"/>
      <c r="M81" s="125">
        <f>SUM(E81:L81)</f>
        <v>20190266.17647059</v>
      </c>
      <c r="N81" s="47"/>
      <c r="O81" s="134"/>
      <c r="P81" s="134"/>
      <c r="Q81" s="133"/>
      <c r="R81" s="134"/>
      <c r="S81" s="134"/>
      <c r="T81" s="133"/>
      <c r="U81" s="136"/>
      <c r="V81" s="145">
        <v>17658431.37254902</v>
      </c>
      <c r="W81" s="145">
        <v>1489509.8039215684</v>
      </c>
      <c r="X81" s="145"/>
    </row>
    <row r="82" spans="2:24" ht="12.75" outlineLevel="1">
      <c r="B82" s="170" t="s">
        <v>247</v>
      </c>
      <c r="C82" s="170"/>
      <c r="D82" s="170"/>
      <c r="E82" s="48"/>
      <c r="F82" s="48"/>
      <c r="G82" s="49"/>
      <c r="H82" s="47"/>
      <c r="I82" s="47"/>
      <c r="J82" s="48"/>
      <c r="K82" s="47"/>
      <c r="L82" s="49"/>
      <c r="M82" s="47"/>
      <c r="N82" s="47"/>
      <c r="O82" s="135"/>
      <c r="P82" s="135"/>
      <c r="Q82" s="133"/>
      <c r="R82" s="135"/>
      <c r="S82" s="135"/>
      <c r="T82" s="133"/>
      <c r="U82" s="142"/>
      <c r="V82" s="142"/>
      <c r="W82" s="142"/>
      <c r="X82" s="142"/>
    </row>
    <row r="83" spans="2:24" ht="12.75" outlineLevel="1">
      <c r="B83" s="171" t="s">
        <v>505</v>
      </c>
      <c r="C83" s="170"/>
      <c r="D83" s="170"/>
      <c r="E83" s="48"/>
      <c r="F83" s="48"/>
      <c r="G83" s="49"/>
      <c r="H83" s="47"/>
      <c r="I83" s="47"/>
      <c r="J83" s="48"/>
      <c r="K83" s="47"/>
      <c r="L83" s="49"/>
      <c r="M83" s="47"/>
      <c r="N83" s="47"/>
      <c r="O83" s="135"/>
      <c r="P83" s="135"/>
      <c r="Q83" s="133"/>
      <c r="R83" s="135"/>
      <c r="S83" s="135"/>
      <c r="T83" s="133"/>
      <c r="U83" s="142"/>
      <c r="V83" s="142"/>
      <c r="W83" s="142"/>
      <c r="X83" s="142"/>
    </row>
    <row r="84" spans="2:24" ht="12.75" outlineLevel="1">
      <c r="B84" s="170"/>
      <c r="C84" s="170"/>
      <c r="D84" s="170"/>
      <c r="E84" s="48"/>
      <c r="F84" s="48"/>
      <c r="G84" s="49"/>
      <c r="H84" s="47"/>
      <c r="I84" s="47"/>
      <c r="J84" s="48"/>
      <c r="K84" s="47"/>
      <c r="L84" s="49"/>
      <c r="M84" s="47"/>
      <c r="N84" s="47"/>
      <c r="O84" s="135"/>
      <c r="P84" s="135"/>
      <c r="Q84" s="133"/>
      <c r="R84" s="135"/>
      <c r="S84" s="135"/>
      <c r="T84" s="133"/>
      <c r="U84" s="142"/>
      <c r="V84" s="142"/>
      <c r="W84" s="142"/>
      <c r="X84" s="142"/>
    </row>
    <row r="85" spans="2:24" ht="12.75" outlineLevel="1">
      <c r="B85" s="172" t="s">
        <v>222</v>
      </c>
      <c r="C85" s="176"/>
      <c r="D85" s="176"/>
      <c r="E85" s="48"/>
      <c r="F85" s="48"/>
      <c r="G85" s="49"/>
      <c r="H85" s="47"/>
      <c r="I85" s="47"/>
      <c r="J85" s="48"/>
      <c r="K85" s="47"/>
      <c r="L85" s="49"/>
      <c r="M85" s="47"/>
      <c r="N85" s="47"/>
      <c r="O85" s="135"/>
      <c r="P85" s="135"/>
      <c r="Q85" s="133"/>
      <c r="R85" s="135"/>
      <c r="S85" s="135"/>
      <c r="T85" s="133"/>
      <c r="U85" s="142"/>
      <c r="V85" s="142"/>
      <c r="W85" s="142"/>
      <c r="X85" s="142"/>
    </row>
    <row r="86" spans="2:24" ht="12.75" outlineLevel="1">
      <c r="B86" s="170" t="s">
        <v>199</v>
      </c>
      <c r="C86" s="176"/>
      <c r="D86" s="176"/>
      <c r="E86" s="53">
        <v>1056</v>
      </c>
      <c r="F86" s="52">
        <v>6600.301481481478</v>
      </c>
      <c r="G86" s="46">
        <v>719.8804083404822</v>
      </c>
      <c r="H86" s="125">
        <f>O86+P86</f>
        <v>79041.91974451997</v>
      </c>
      <c r="I86" s="125">
        <f>R86+S86</f>
        <v>72229.69834513013</v>
      </c>
      <c r="J86" s="52">
        <v>1251.5</v>
      </c>
      <c r="K86" s="125">
        <f>SUM(U86:X86)</f>
        <v>60310.00000000001</v>
      </c>
      <c r="L86" s="46">
        <v>4733.39784373657</v>
      </c>
      <c r="M86" s="125">
        <f>SUM(E86:L86)</f>
        <v>225942.69782320864</v>
      </c>
      <c r="N86" s="47"/>
      <c r="O86" s="134">
        <v>77853.91974451997</v>
      </c>
      <c r="P86" s="134">
        <v>1188</v>
      </c>
      <c r="Q86" s="133"/>
      <c r="R86" s="134">
        <v>72229.69834513013</v>
      </c>
      <c r="S86" s="134"/>
      <c r="T86" s="133"/>
      <c r="U86" s="136"/>
      <c r="V86" s="145">
        <v>44689.61111111112</v>
      </c>
      <c r="W86" s="145">
        <v>13964.388888888889</v>
      </c>
      <c r="X86" s="145">
        <v>1656</v>
      </c>
    </row>
    <row r="87" spans="2:24" ht="12.75" outlineLevel="1">
      <c r="B87" s="170" t="s">
        <v>211</v>
      </c>
      <c r="C87" s="176"/>
      <c r="D87" s="176"/>
      <c r="E87" s="53">
        <v>12901</v>
      </c>
      <c r="F87" s="52">
        <v>126237.27500000001</v>
      </c>
      <c r="G87" s="46">
        <v>20968.2493767745</v>
      </c>
      <c r="H87" s="125">
        <f>O87+P87</f>
        <v>2293885.322594608</v>
      </c>
      <c r="I87" s="125">
        <f>R87+S87</f>
        <v>2214496.6976255705</v>
      </c>
      <c r="J87" s="52">
        <v>14900</v>
      </c>
      <c r="K87" s="125">
        <f>SUM(U87:X87)</f>
        <v>1916779.7117117115</v>
      </c>
      <c r="L87" s="46">
        <v>141246.74735740002</v>
      </c>
      <c r="M87" s="125">
        <f>SUM(E87:L87)</f>
        <v>6741415.003666065</v>
      </c>
      <c r="N87" s="47"/>
      <c r="O87" s="134">
        <v>2256923.322594608</v>
      </c>
      <c r="P87" s="134">
        <v>36962</v>
      </c>
      <c r="Q87" s="133"/>
      <c r="R87" s="134">
        <v>2214496.6976255705</v>
      </c>
      <c r="S87" s="134"/>
      <c r="T87" s="133"/>
      <c r="U87" s="136"/>
      <c r="V87" s="145">
        <v>1449069.8198198196</v>
      </c>
      <c r="W87" s="145">
        <v>420491.89189189184</v>
      </c>
      <c r="X87" s="145">
        <v>47218</v>
      </c>
    </row>
    <row r="88" spans="2:24" ht="12.75" outlineLevel="1">
      <c r="B88" s="170" t="s">
        <v>221</v>
      </c>
      <c r="C88" s="176"/>
      <c r="D88" s="176"/>
      <c r="E88" s="53">
        <v>13979541</v>
      </c>
      <c r="F88" s="52">
        <v>84151993.0791366</v>
      </c>
      <c r="G88" s="46">
        <v>11008954.27945119</v>
      </c>
      <c r="H88" s="125">
        <f>O88+P88</f>
        <v>1152671918.5687</v>
      </c>
      <c r="I88" s="125">
        <f>R88+S88</f>
        <v>962625491.2881567</v>
      </c>
      <c r="J88" s="52">
        <v>12820835</v>
      </c>
      <c r="K88" s="125">
        <f>SUM(U88:X88)</f>
        <v>654332844.7798568</v>
      </c>
      <c r="L88" s="46">
        <v>70263750.6536518</v>
      </c>
      <c r="M88" s="125">
        <f>SUM(E88:L88)</f>
        <v>2961855328.648953</v>
      </c>
      <c r="N88" s="47"/>
      <c r="O88" s="134">
        <v>1132980411.5687</v>
      </c>
      <c r="P88" s="134">
        <v>19691507</v>
      </c>
      <c r="Q88" s="133"/>
      <c r="R88" s="134">
        <v>745035378.1769102</v>
      </c>
      <c r="S88" s="134">
        <v>217590113.11124665</v>
      </c>
      <c r="T88" s="133"/>
      <c r="U88" s="136"/>
      <c r="V88" s="145">
        <v>464713426.96629214</v>
      </c>
      <c r="W88" s="145">
        <v>175467593.81356466</v>
      </c>
      <c r="X88" s="145">
        <v>14151824</v>
      </c>
    </row>
    <row r="89" spans="2:24" ht="12.75" outlineLevel="1">
      <c r="B89" s="170" t="s">
        <v>202</v>
      </c>
      <c r="C89" s="176"/>
      <c r="D89" s="176"/>
      <c r="E89" s="53">
        <v>27223165</v>
      </c>
      <c r="F89" s="52">
        <v>105841935.23115858</v>
      </c>
      <c r="G89" s="46">
        <v>10582665.400839666</v>
      </c>
      <c r="H89" s="125">
        <f>O89+P89</f>
        <v>1402524145.12683</v>
      </c>
      <c r="I89" s="125">
        <f>R89+S89</f>
        <v>1351737615.1050026</v>
      </c>
      <c r="J89" s="52">
        <v>24673817</v>
      </c>
      <c r="K89" s="125">
        <f>SUM(U89:X89)</f>
        <v>1013830971.7976358</v>
      </c>
      <c r="L89" s="46">
        <v>86848462.257001</v>
      </c>
      <c r="M89" s="125">
        <f>SUM(E89:L89)</f>
        <v>4023262776.9184675</v>
      </c>
      <c r="N89" s="47"/>
      <c r="O89" s="134">
        <v>1377435669.12683</v>
      </c>
      <c r="P89" s="134">
        <v>25088476</v>
      </c>
      <c r="Q89" s="133"/>
      <c r="R89" s="134">
        <v>1210791019.03473</v>
      </c>
      <c r="S89" s="134">
        <v>140946596.07027274</v>
      </c>
      <c r="T89" s="133"/>
      <c r="U89" s="136"/>
      <c r="V89" s="145">
        <v>731278403.3613445</v>
      </c>
      <c r="W89" s="145">
        <v>260621573.43629134</v>
      </c>
      <c r="X89" s="145">
        <v>21930995</v>
      </c>
    </row>
    <row r="90" spans="2:24" ht="12.75" outlineLevel="1">
      <c r="B90" s="170" t="s">
        <v>247</v>
      </c>
      <c r="C90" s="176"/>
      <c r="D90" s="176"/>
      <c r="E90" s="48"/>
      <c r="F90" s="48"/>
      <c r="G90" s="49"/>
      <c r="H90" s="47"/>
      <c r="I90" s="47"/>
      <c r="J90" s="48"/>
      <c r="K90" s="47"/>
      <c r="L90" s="49"/>
      <c r="M90" s="47"/>
      <c r="N90" s="47"/>
      <c r="O90" s="135"/>
      <c r="P90" s="135"/>
      <c r="Q90" s="133"/>
      <c r="R90" s="135"/>
      <c r="S90" s="135"/>
      <c r="T90" s="133"/>
      <c r="U90" s="142"/>
      <c r="V90" s="142"/>
      <c r="W90" s="142"/>
      <c r="X90" s="142"/>
    </row>
    <row r="91" spans="2:24" ht="12.75" outlineLevel="1">
      <c r="B91" s="172" t="s">
        <v>223</v>
      </c>
      <c r="C91" s="176"/>
      <c r="D91" s="176"/>
      <c r="E91" s="48"/>
      <c r="F91" s="48"/>
      <c r="G91" s="49"/>
      <c r="H91" s="47"/>
      <c r="I91" s="47"/>
      <c r="J91" s="48"/>
      <c r="K91" s="47"/>
      <c r="L91" s="49"/>
      <c r="M91" s="47"/>
      <c r="N91" s="47"/>
      <c r="O91" s="135"/>
      <c r="P91" s="135"/>
      <c r="Q91" s="133"/>
      <c r="R91" s="135"/>
      <c r="S91" s="135"/>
      <c r="T91" s="133"/>
      <c r="U91" s="142"/>
      <c r="V91" s="142"/>
      <c r="W91" s="142"/>
      <c r="X91" s="142"/>
    </row>
    <row r="92" spans="2:24" ht="12.75" outlineLevel="1">
      <c r="B92" s="170" t="s">
        <v>199</v>
      </c>
      <c r="C92" s="176"/>
      <c r="D92" s="176"/>
      <c r="E92" s="52">
        <v>514</v>
      </c>
      <c r="F92" s="52">
        <v>2001.5725</v>
      </c>
      <c r="G92" s="46">
        <v>2261.5815643671017</v>
      </c>
      <c r="H92" s="125">
        <f>O92+P92</f>
        <v>31642.003652009218</v>
      </c>
      <c r="I92" s="125">
        <f>R92+S92</f>
        <v>42061.223428813886</v>
      </c>
      <c r="J92" s="52"/>
      <c r="K92" s="125">
        <f>SUM(U92:X92)</f>
        <v>8814.777777777776</v>
      </c>
      <c r="L92" s="46"/>
      <c r="M92" s="125">
        <f>SUM(E92:L92)</f>
        <v>87295.158922968</v>
      </c>
      <c r="N92" s="47"/>
      <c r="O92" s="134">
        <v>31250.003652009218</v>
      </c>
      <c r="P92" s="134">
        <v>392</v>
      </c>
      <c r="Q92" s="133"/>
      <c r="R92" s="134">
        <v>42061.223428813886</v>
      </c>
      <c r="S92" s="134"/>
      <c r="T92" s="133"/>
      <c r="U92" s="136"/>
      <c r="V92" s="145">
        <v>3998.6666666666665</v>
      </c>
      <c r="W92" s="145">
        <v>4602.1111111111095</v>
      </c>
      <c r="X92" s="145">
        <v>214</v>
      </c>
    </row>
    <row r="93" spans="2:24" ht="12.75" outlineLevel="1">
      <c r="B93" s="170" t="s">
        <v>211</v>
      </c>
      <c r="C93" s="176"/>
      <c r="D93" s="176"/>
      <c r="E93" s="52">
        <v>6279</v>
      </c>
      <c r="F93" s="52">
        <v>42964.7</v>
      </c>
      <c r="G93" s="46">
        <v>82089.13553487316</v>
      </c>
      <c r="H93" s="125">
        <f>O93+P93</f>
        <v>920371.4695874379</v>
      </c>
      <c r="I93" s="125">
        <f>R93+S93</f>
        <v>1400651.124665836</v>
      </c>
      <c r="J93" s="52"/>
      <c r="K93" s="125">
        <f>SUM(U93:X93)</f>
        <v>252634.4144144144</v>
      </c>
      <c r="L93" s="46"/>
      <c r="M93" s="125">
        <f>SUM(E93:L93)</f>
        <v>2704989.8442025613</v>
      </c>
      <c r="N93" s="47"/>
      <c r="O93" s="134">
        <v>909257.4695874379</v>
      </c>
      <c r="P93" s="134">
        <v>11114</v>
      </c>
      <c r="Q93" s="133"/>
      <c r="R93" s="134">
        <v>1400651.124665836</v>
      </c>
      <c r="S93" s="134"/>
      <c r="T93" s="133"/>
      <c r="U93" s="136"/>
      <c r="V93" s="145">
        <v>117554.05405405404</v>
      </c>
      <c r="W93" s="145">
        <v>127360.36036036037</v>
      </c>
      <c r="X93" s="145">
        <v>7720</v>
      </c>
    </row>
    <row r="94" spans="2:24" ht="12.75" outlineLevel="1">
      <c r="B94" s="170" t="s">
        <v>224</v>
      </c>
      <c r="C94" s="176"/>
      <c r="D94" s="176"/>
      <c r="E94" s="52">
        <v>14275627</v>
      </c>
      <c r="F94" s="52">
        <v>33044894.065121543</v>
      </c>
      <c r="G94" s="46">
        <v>58131703.80949913</v>
      </c>
      <c r="H94" s="125">
        <f>O94+P94</f>
        <v>767515660.1751466</v>
      </c>
      <c r="I94" s="125">
        <f>R94+S94</f>
        <v>938039405.5786457</v>
      </c>
      <c r="J94" s="52"/>
      <c r="K94" s="125">
        <f>SUM(U94:X94)</f>
        <v>176581478.48901787</v>
      </c>
      <c r="L94" s="46"/>
      <c r="M94" s="125">
        <f>SUM(E94:L94)</f>
        <v>1987588769.117431</v>
      </c>
      <c r="N94" s="47"/>
      <c r="O94" s="134">
        <v>757236347.1751466</v>
      </c>
      <c r="P94" s="134">
        <v>10279313</v>
      </c>
      <c r="Q94" s="133"/>
      <c r="R94" s="134">
        <v>938039405.5786457</v>
      </c>
      <c r="S94" s="134"/>
      <c r="T94" s="133"/>
      <c r="U94" s="136"/>
      <c r="V94" s="145">
        <v>72259607.84313725</v>
      </c>
      <c r="W94" s="145">
        <v>101514486.64588062</v>
      </c>
      <c r="X94" s="145">
        <v>2807384</v>
      </c>
    </row>
    <row r="95" spans="2:24" ht="12.75" outlineLevel="1">
      <c r="B95" s="170" t="s">
        <v>247</v>
      </c>
      <c r="C95" s="176"/>
      <c r="D95" s="176"/>
      <c r="E95" s="48"/>
      <c r="F95" s="48"/>
      <c r="G95" s="49"/>
      <c r="H95" s="47"/>
      <c r="I95" s="47"/>
      <c r="J95" s="48"/>
      <c r="K95" s="47"/>
      <c r="L95" s="49"/>
      <c r="M95" s="47"/>
      <c r="N95" s="47"/>
      <c r="O95" s="135"/>
      <c r="P95" s="135"/>
      <c r="Q95" s="133"/>
      <c r="R95" s="135"/>
      <c r="S95" s="135"/>
      <c r="T95" s="133"/>
      <c r="U95" s="142"/>
      <c r="V95" s="142"/>
      <c r="W95" s="142"/>
      <c r="X95" s="142"/>
    </row>
    <row r="96" spans="2:24" ht="12.75" outlineLevel="1">
      <c r="B96" s="172" t="s">
        <v>225</v>
      </c>
      <c r="C96" s="176"/>
      <c r="D96" s="176"/>
      <c r="E96" s="48"/>
      <c r="F96" s="48"/>
      <c r="G96" s="49"/>
      <c r="H96" s="47"/>
      <c r="I96" s="47"/>
      <c r="J96" s="48"/>
      <c r="K96" s="47"/>
      <c r="L96" s="49"/>
      <c r="M96" s="47"/>
      <c r="N96" s="47"/>
      <c r="O96" s="135"/>
      <c r="P96" s="135"/>
      <c r="Q96" s="133"/>
      <c r="R96" s="135"/>
      <c r="S96" s="135"/>
      <c r="T96" s="133"/>
      <c r="U96" s="142"/>
      <c r="V96" s="142"/>
      <c r="W96" s="142"/>
      <c r="X96" s="142"/>
    </row>
    <row r="97" spans="2:24" ht="12.75" outlineLevel="1">
      <c r="B97" s="170" t="s">
        <v>199</v>
      </c>
      <c r="C97" s="176"/>
      <c r="D97" s="176"/>
      <c r="E97" s="52">
        <v>30659</v>
      </c>
      <c r="F97" s="52">
        <v>72379.44583333335</v>
      </c>
      <c r="G97" s="46">
        <v>7357.255189004737</v>
      </c>
      <c r="H97" s="125">
        <f>O97+P97</f>
        <v>1051385.071268062</v>
      </c>
      <c r="I97" s="125">
        <f>R97+S97</f>
        <v>778003.6303590597</v>
      </c>
      <c r="J97" s="52">
        <v>17014.6</v>
      </c>
      <c r="K97" s="125">
        <f>SUM(U97:X97)</f>
        <v>1256257.13</v>
      </c>
      <c r="L97" s="46">
        <v>39703.278068608524</v>
      </c>
      <c r="M97" s="125">
        <f>SUM(E97:L97)</f>
        <v>3252759.4107180685</v>
      </c>
      <c r="N97" s="47"/>
      <c r="O97" s="199">
        <v>1032128.0712680622</v>
      </c>
      <c r="P97" s="199">
        <v>19257</v>
      </c>
      <c r="Q97" s="133"/>
      <c r="R97" s="199">
        <v>778003.6303590597</v>
      </c>
      <c r="S97" s="199"/>
      <c r="T97" s="133"/>
      <c r="U97" s="136"/>
      <c r="V97" s="145">
        <v>995644.2966666666</v>
      </c>
      <c r="W97" s="145">
        <v>235571.83333333334</v>
      </c>
      <c r="X97" s="145">
        <v>25041</v>
      </c>
    </row>
    <row r="98" spans="2:24" ht="12.75" outlineLevel="1">
      <c r="B98" s="170" t="s">
        <v>221</v>
      </c>
      <c r="C98" s="176"/>
      <c r="D98" s="176"/>
      <c r="E98" s="52">
        <v>66996105</v>
      </c>
      <c r="F98" s="52">
        <v>187921252.8254965</v>
      </c>
      <c r="G98" s="46">
        <v>22237742.115547862</v>
      </c>
      <c r="H98" s="125">
        <f>O98+P98</f>
        <v>2805267946.320294</v>
      </c>
      <c r="I98" s="125">
        <f>R98+S98</f>
        <v>2092837010.596519</v>
      </c>
      <c r="J98" s="52">
        <v>33608193</v>
      </c>
      <c r="K98" s="125">
        <f>SUM(U98:X98)</f>
        <v>2533547156.0626335</v>
      </c>
      <c r="L98" s="46">
        <v>74170631.37703112</v>
      </c>
      <c r="M98" s="125">
        <f>SUM(E98:L98)</f>
        <v>7816586037.297522</v>
      </c>
      <c r="N98" s="47"/>
      <c r="O98" s="199">
        <v>2758375772.320294</v>
      </c>
      <c r="P98" s="199">
        <v>46892174</v>
      </c>
      <c r="Q98" s="133"/>
      <c r="R98" s="199">
        <v>1950365438.385546</v>
      </c>
      <c r="S98" s="199">
        <v>142471572.21097305</v>
      </c>
      <c r="T98" s="133"/>
      <c r="U98" s="136"/>
      <c r="V98" s="145">
        <v>1862890606.6605172</v>
      </c>
      <c r="W98" s="145">
        <v>627592116.4021164</v>
      </c>
      <c r="X98" s="145">
        <v>43064433</v>
      </c>
    </row>
    <row r="99" spans="2:24" ht="12.75" outlineLevel="1">
      <c r="B99" s="170" t="s">
        <v>202</v>
      </c>
      <c r="C99" s="176"/>
      <c r="D99" s="176"/>
      <c r="E99" s="52">
        <v>74405827</v>
      </c>
      <c r="F99" s="52">
        <v>175995459.21809116</v>
      </c>
      <c r="G99" s="46">
        <v>15919530.69405146</v>
      </c>
      <c r="H99" s="125">
        <f>O99+P99</f>
        <v>2350383259.746192</v>
      </c>
      <c r="I99" s="125">
        <f>R99+S99</f>
        <v>2083367880.2478623</v>
      </c>
      <c r="J99" s="52">
        <v>37510350</v>
      </c>
      <c r="K99" s="125">
        <f>SUM(U99:X99)</f>
        <v>2481474068.611333</v>
      </c>
      <c r="L99" s="46">
        <v>91715461.57531302</v>
      </c>
      <c r="M99" s="125">
        <f>SUM(E99:L99)</f>
        <v>7310771837.092842</v>
      </c>
      <c r="N99" s="47"/>
      <c r="O99" s="199">
        <v>2313645551.746192</v>
      </c>
      <c r="P99" s="199">
        <v>36737708</v>
      </c>
      <c r="Q99" s="133"/>
      <c r="R99" s="199">
        <v>1604424333.9959826</v>
      </c>
      <c r="S99" s="199">
        <v>478943546.2518798</v>
      </c>
      <c r="T99" s="133"/>
      <c r="U99" s="136"/>
      <c r="V99" s="145">
        <v>1881596837.526677</v>
      </c>
      <c r="W99" s="145">
        <v>557999656.0846561</v>
      </c>
      <c r="X99" s="145">
        <v>41877575</v>
      </c>
    </row>
    <row r="100" spans="2:24" ht="12.75" outlineLevel="1">
      <c r="B100" s="170" t="s">
        <v>247</v>
      </c>
      <c r="C100" s="176"/>
      <c r="D100" s="176"/>
      <c r="E100" s="51"/>
      <c r="F100" s="51"/>
      <c r="G100" s="49"/>
      <c r="H100" s="47"/>
      <c r="I100" s="47"/>
      <c r="J100" s="51"/>
      <c r="K100" s="47"/>
      <c r="L100" s="49"/>
      <c r="M100" s="47"/>
      <c r="N100" s="47"/>
      <c r="O100" s="135"/>
      <c r="P100" s="135"/>
      <c r="Q100" s="133"/>
      <c r="R100" s="135"/>
      <c r="S100" s="135"/>
      <c r="T100" s="133"/>
      <c r="U100" s="144"/>
      <c r="V100" s="144"/>
      <c r="W100" s="144"/>
      <c r="X100" s="144"/>
    </row>
    <row r="101" spans="2:24" ht="12.75" outlineLevel="1">
      <c r="B101" s="172" t="s">
        <v>226</v>
      </c>
      <c r="C101" s="176"/>
      <c r="D101" s="176"/>
      <c r="E101" s="48"/>
      <c r="F101" s="48"/>
      <c r="G101" s="49"/>
      <c r="H101" s="47"/>
      <c r="I101" s="47"/>
      <c r="J101" s="48"/>
      <c r="K101" s="47"/>
      <c r="L101" s="49"/>
      <c r="M101" s="47"/>
      <c r="N101" s="47"/>
      <c r="O101" s="135"/>
      <c r="P101" s="135"/>
      <c r="Q101" s="133"/>
      <c r="R101" s="135"/>
      <c r="S101" s="135"/>
      <c r="T101" s="133"/>
      <c r="U101" s="142"/>
      <c r="V101" s="142"/>
      <c r="W101" s="142"/>
      <c r="X101" s="142"/>
    </row>
    <row r="102" spans="2:24" ht="12.75" outlineLevel="1">
      <c r="B102" s="170" t="s">
        <v>199</v>
      </c>
      <c r="C102" s="176"/>
      <c r="D102" s="176"/>
      <c r="E102" s="52">
        <v>18395</v>
      </c>
      <c r="F102" s="52">
        <v>122260.7672895623</v>
      </c>
      <c r="G102" s="46">
        <v>89176.10919011297</v>
      </c>
      <c r="H102" s="125">
        <f>O102+P102</f>
        <v>1298740.7700251548</v>
      </c>
      <c r="I102" s="125">
        <f>R102+S102</f>
        <v>1867079.1613309004</v>
      </c>
      <c r="J102" s="52">
        <v>12267</v>
      </c>
      <c r="K102" s="125">
        <f>SUM(U102:X102)</f>
        <v>543917.3333333333</v>
      </c>
      <c r="L102" s="46">
        <v>5624.993333333334</v>
      </c>
      <c r="M102" s="125">
        <f>SUM(E102:L102)</f>
        <v>3957461.134502397</v>
      </c>
      <c r="N102" s="47"/>
      <c r="O102" s="134">
        <v>1274070.7700251548</v>
      </c>
      <c r="P102" s="134">
        <v>24670</v>
      </c>
      <c r="Q102" s="133"/>
      <c r="R102" s="134">
        <v>1867079.1613309004</v>
      </c>
      <c r="S102" s="134"/>
      <c r="T102" s="133"/>
      <c r="U102" s="136"/>
      <c r="V102" s="145">
        <v>249542.27777777775</v>
      </c>
      <c r="W102" s="145">
        <v>284325.05555555556</v>
      </c>
      <c r="X102" s="145">
        <v>10050</v>
      </c>
    </row>
    <row r="103" spans="2:24" ht="12.75" outlineLevel="1">
      <c r="B103" s="170" t="s">
        <v>224</v>
      </c>
      <c r="C103" s="176"/>
      <c r="D103" s="176"/>
      <c r="E103" s="52">
        <v>51158487</v>
      </c>
      <c r="F103" s="52">
        <v>345817598.351287</v>
      </c>
      <c r="G103" s="46">
        <v>297352385.7110364</v>
      </c>
      <c r="H103" s="125">
        <f>O103+P103</f>
        <v>4363077221.666331</v>
      </c>
      <c r="I103" s="125">
        <f>R103+S103</f>
        <v>5779873517.978471</v>
      </c>
      <c r="J103" s="52">
        <v>32427231</v>
      </c>
      <c r="K103" s="125">
        <f>SUM(U103:X103)</f>
        <v>1516581239.4705906</v>
      </c>
      <c r="L103" s="46">
        <v>14448471.232876714</v>
      </c>
      <c r="M103" s="125">
        <f>SUM(E103:L103)</f>
        <v>12400736152.410593</v>
      </c>
      <c r="N103" s="47"/>
      <c r="O103" s="134">
        <v>4294973191.666331</v>
      </c>
      <c r="P103" s="134">
        <v>68104030</v>
      </c>
      <c r="Q103" s="133"/>
      <c r="R103" s="134">
        <v>5779873517.978471</v>
      </c>
      <c r="S103" s="134"/>
      <c r="T103" s="133"/>
      <c r="U103" s="136"/>
      <c r="V103" s="145">
        <v>523160267.6399027</v>
      </c>
      <c r="W103" s="145">
        <v>974095687.8306878</v>
      </c>
      <c r="X103" s="145">
        <v>19325284</v>
      </c>
    </row>
    <row r="104" spans="2:24" ht="12.75" outlineLevel="1">
      <c r="B104" s="170" t="s">
        <v>247</v>
      </c>
      <c r="C104" s="176"/>
      <c r="D104" s="176"/>
      <c r="E104" s="54"/>
      <c r="F104" s="54"/>
      <c r="G104" s="49"/>
      <c r="H104" s="49"/>
      <c r="I104" s="54"/>
      <c r="J104" s="54"/>
      <c r="K104" s="49"/>
      <c r="L104" s="49"/>
      <c r="M104" s="47"/>
      <c r="N104" s="47"/>
      <c r="O104" s="133"/>
      <c r="P104" s="133"/>
      <c r="Q104" s="133"/>
      <c r="R104" s="133"/>
      <c r="S104" s="133"/>
      <c r="T104" s="133"/>
      <c r="U104" s="136"/>
      <c r="V104" s="136"/>
      <c r="W104" s="136"/>
      <c r="X104" s="136"/>
    </row>
    <row r="105" spans="2:24" ht="12.75" outlineLevel="1">
      <c r="B105" s="172" t="s">
        <v>232</v>
      </c>
      <c r="C105" s="176"/>
      <c r="D105" s="176"/>
      <c r="E105" s="54"/>
      <c r="F105" s="54"/>
      <c r="G105" s="49"/>
      <c r="H105" s="49"/>
      <c r="I105" s="54"/>
      <c r="J105" s="54"/>
      <c r="K105" s="49"/>
      <c r="L105" s="49"/>
      <c r="M105" s="47"/>
      <c r="N105" s="47"/>
      <c r="O105" s="133"/>
      <c r="P105" s="133"/>
      <c r="Q105" s="133"/>
      <c r="R105" s="133"/>
      <c r="S105" s="133"/>
      <c r="T105" s="133"/>
      <c r="U105" s="136"/>
      <c r="V105" s="136"/>
      <c r="W105" s="136"/>
      <c r="X105" s="136"/>
    </row>
    <row r="106" spans="2:24" ht="12.75" outlineLevel="1">
      <c r="B106" s="170" t="s">
        <v>199</v>
      </c>
      <c r="C106" s="176"/>
      <c r="D106" s="176"/>
      <c r="E106" s="52">
        <v>21440</v>
      </c>
      <c r="F106" s="52">
        <v>81115.33333333333</v>
      </c>
      <c r="G106" s="46">
        <v>40214.5</v>
      </c>
      <c r="H106" s="125">
        <f>O106+P106</f>
        <v>889401.0101010099</v>
      </c>
      <c r="I106" s="139">
        <f>R106+S106</f>
        <v>494083.12179984484</v>
      </c>
      <c r="J106" s="52">
        <v>17296</v>
      </c>
      <c r="K106" s="124">
        <f>V106+W106+X106</f>
        <v>596813.0370370371</v>
      </c>
      <c r="L106" s="46">
        <v>22644</v>
      </c>
      <c r="M106" s="125">
        <f>SUM(E106:L106)</f>
        <v>2163007.0022712247</v>
      </c>
      <c r="N106" s="47"/>
      <c r="O106" s="157">
        <v>874483.0101010099</v>
      </c>
      <c r="P106" s="157">
        <v>14918</v>
      </c>
      <c r="Q106" s="133"/>
      <c r="R106" s="157">
        <v>494083.12179984484</v>
      </c>
      <c r="S106" s="157"/>
      <c r="T106" s="133"/>
      <c r="U106" s="136"/>
      <c r="V106" s="145">
        <v>425366.0370370371</v>
      </c>
      <c r="W106" s="145">
        <v>163100</v>
      </c>
      <c r="X106" s="145">
        <v>8347</v>
      </c>
    </row>
    <row r="107" spans="2:24" ht="12.75" outlineLevel="1">
      <c r="B107" s="170" t="s">
        <v>221</v>
      </c>
      <c r="C107" s="176"/>
      <c r="D107" s="176"/>
      <c r="E107" s="52">
        <v>3691840</v>
      </c>
      <c r="F107" s="52"/>
      <c r="G107" s="46">
        <v>10216206.345888363</v>
      </c>
      <c r="H107" s="125">
        <f>O107+P107</f>
        <v>152038819.63636366</v>
      </c>
      <c r="I107" s="139">
        <f>R107+S107</f>
        <v>85753384.85631013</v>
      </c>
      <c r="J107" s="52">
        <v>2384588</v>
      </c>
      <c r="K107" s="124">
        <f>V107+W107+X107</f>
        <v>113865786.80530888</v>
      </c>
      <c r="L107" s="46">
        <v>4058235</v>
      </c>
      <c r="M107" s="125">
        <f>SUM(E107:L107)</f>
        <v>372008860.64387107</v>
      </c>
      <c r="N107" s="47"/>
      <c r="O107" s="157">
        <v>147732163.63636366</v>
      </c>
      <c r="P107" s="157">
        <v>4306656</v>
      </c>
      <c r="Q107" s="133"/>
      <c r="R107" s="157">
        <v>85753384.85631013</v>
      </c>
      <c r="S107" s="157"/>
      <c r="T107" s="133"/>
      <c r="U107" s="136"/>
      <c r="V107" s="145">
        <v>98346480.44692737</v>
      </c>
      <c r="W107" s="145">
        <v>15519306.358381504</v>
      </c>
      <c r="X107" s="145"/>
    </row>
    <row r="108" spans="2:24" ht="12.75" outlineLevel="1">
      <c r="B108" s="170" t="s">
        <v>202</v>
      </c>
      <c r="C108" s="176"/>
      <c r="D108" s="176"/>
      <c r="E108" s="52">
        <v>1570396</v>
      </c>
      <c r="F108" s="52">
        <v>14728181.309929002</v>
      </c>
      <c r="G108" s="46">
        <v>4091416.2224593004</v>
      </c>
      <c r="H108" s="125">
        <f>O108+P108</f>
        <v>35892950.81818181</v>
      </c>
      <c r="I108" s="139">
        <f>R108+S108</f>
        <v>33548391.952492557</v>
      </c>
      <c r="J108" s="52">
        <v>778875</v>
      </c>
      <c r="K108" s="124">
        <f>V108+W108+X108</f>
        <v>36940294.35076393</v>
      </c>
      <c r="L108" s="46">
        <v>2104270</v>
      </c>
      <c r="M108" s="125">
        <f>SUM(E108:L108)</f>
        <v>129654775.65382661</v>
      </c>
      <c r="N108" s="47"/>
      <c r="O108" s="157">
        <v>35030613.81818181</v>
      </c>
      <c r="P108" s="157">
        <v>862337</v>
      </c>
      <c r="Q108" s="133"/>
      <c r="R108" s="157">
        <v>33548391.952492557</v>
      </c>
      <c r="S108" s="157"/>
      <c r="T108" s="133"/>
      <c r="U108" s="136"/>
      <c r="V108" s="145">
        <v>32553966.48044693</v>
      </c>
      <c r="W108" s="145">
        <v>1335734.8703170028</v>
      </c>
      <c r="X108" s="145">
        <v>3050593</v>
      </c>
    </row>
    <row r="109" spans="2:24" ht="12.75" outlineLevel="1">
      <c r="B109" s="170"/>
      <c r="C109" s="176"/>
      <c r="D109" s="176"/>
      <c r="E109" s="54"/>
      <c r="F109" s="54"/>
      <c r="G109" s="49"/>
      <c r="H109" s="49"/>
      <c r="I109" s="54"/>
      <c r="J109" s="54"/>
      <c r="K109" s="49"/>
      <c r="L109" s="49"/>
      <c r="M109" s="47"/>
      <c r="N109" s="47"/>
      <c r="O109" s="133"/>
      <c r="P109" s="133"/>
      <c r="Q109" s="133"/>
      <c r="R109" s="133"/>
      <c r="S109" s="133"/>
      <c r="T109" s="133"/>
      <c r="U109" s="133"/>
      <c r="V109" s="133"/>
      <c r="W109" s="133"/>
      <c r="X109" s="133"/>
    </row>
    <row r="110" spans="2:24" ht="12.75" outlineLevel="1">
      <c r="B110" s="171" t="s">
        <v>506</v>
      </c>
      <c r="C110" s="176"/>
      <c r="D110" s="176"/>
      <c r="E110" s="54"/>
      <c r="F110" s="54"/>
      <c r="G110" s="49"/>
      <c r="H110" s="49"/>
      <c r="I110" s="54"/>
      <c r="J110" s="54"/>
      <c r="K110" s="49"/>
      <c r="L110" s="49"/>
      <c r="M110" s="47"/>
      <c r="N110" s="47"/>
      <c r="O110" s="133"/>
      <c r="P110" s="133"/>
      <c r="Q110" s="133"/>
      <c r="R110" s="133"/>
      <c r="S110" s="133"/>
      <c r="T110" s="133"/>
      <c r="U110" s="133"/>
      <c r="V110" s="133"/>
      <c r="W110" s="133"/>
      <c r="X110" s="133"/>
    </row>
    <row r="111" spans="2:24" ht="12.75" outlineLevel="1">
      <c r="B111" s="170"/>
      <c r="C111" s="176"/>
      <c r="D111" s="176"/>
      <c r="E111" s="54"/>
      <c r="F111" s="54"/>
      <c r="G111" s="49"/>
      <c r="H111" s="49"/>
      <c r="I111" s="54"/>
      <c r="J111" s="54"/>
      <c r="K111" s="49"/>
      <c r="L111" s="49"/>
      <c r="M111" s="47"/>
      <c r="N111" s="47"/>
      <c r="O111" s="133"/>
      <c r="P111" s="133"/>
      <c r="Q111" s="133"/>
      <c r="R111" s="133"/>
      <c r="S111" s="133"/>
      <c r="T111" s="133"/>
      <c r="U111" s="133"/>
      <c r="V111" s="133"/>
      <c r="W111" s="133"/>
      <c r="X111" s="133"/>
    </row>
    <row r="112" spans="2:24" ht="12.75" outlineLevel="1">
      <c r="B112" s="172" t="s">
        <v>235</v>
      </c>
      <c r="C112" s="190"/>
      <c r="D112" s="190"/>
      <c r="E112" s="54"/>
      <c r="F112" s="54"/>
      <c r="G112" s="49"/>
      <c r="H112" s="49"/>
      <c r="I112" s="54"/>
      <c r="J112" s="54"/>
      <c r="K112" s="49"/>
      <c r="L112" s="49"/>
      <c r="M112" s="47"/>
      <c r="N112" s="47"/>
      <c r="O112" s="133"/>
      <c r="P112" s="133"/>
      <c r="Q112" s="133"/>
      <c r="R112" s="133"/>
      <c r="S112" s="133"/>
      <c r="T112" s="133"/>
      <c r="U112" s="133"/>
      <c r="V112" s="133"/>
      <c r="W112" s="133"/>
      <c r="X112" s="133"/>
    </row>
    <row r="113" spans="2:24" ht="12.75" outlineLevel="1">
      <c r="B113" s="170" t="s">
        <v>236</v>
      </c>
      <c r="C113" s="191"/>
      <c r="D113" s="191"/>
      <c r="E113" s="139">
        <f aca="true" t="shared" si="0" ref="E113:L113">E106</f>
        <v>21440</v>
      </c>
      <c r="F113" s="139">
        <f t="shared" si="0"/>
        <v>81115.33333333333</v>
      </c>
      <c r="G113" s="139">
        <f t="shared" si="0"/>
        <v>40214.5</v>
      </c>
      <c r="H113" s="139">
        <f t="shared" si="0"/>
        <v>889401.0101010099</v>
      </c>
      <c r="I113" s="139">
        <f t="shared" si="0"/>
        <v>494083.12179984484</v>
      </c>
      <c r="J113" s="139">
        <f t="shared" si="0"/>
        <v>17296</v>
      </c>
      <c r="K113" s="139">
        <f t="shared" si="0"/>
        <v>596813.0370370371</v>
      </c>
      <c r="L113" s="139">
        <f t="shared" si="0"/>
        <v>22644</v>
      </c>
      <c r="M113" s="125">
        <f>SUM(E113:L113)</f>
        <v>2163007.0022712247</v>
      </c>
      <c r="N113" s="54"/>
      <c r="O113" s="136"/>
      <c r="P113" s="136"/>
      <c r="Q113" s="136"/>
      <c r="R113" s="136"/>
      <c r="S113" s="136"/>
      <c r="T113" s="136"/>
      <c r="U113" s="136"/>
      <c r="V113" s="136"/>
      <c r="W113" s="136"/>
      <c r="X113" s="136"/>
    </row>
    <row r="114" spans="2:24" ht="12.75" outlineLevel="1">
      <c r="B114" s="170" t="s">
        <v>237</v>
      </c>
      <c r="C114" s="191"/>
      <c r="D114" s="191"/>
      <c r="E114" s="139">
        <f aca="true" t="shared" si="1" ref="E114:L114">E102+E97+E92+E86</f>
        <v>50624</v>
      </c>
      <c r="F114" s="139">
        <f t="shared" si="1"/>
        <v>203242.0871043771</v>
      </c>
      <c r="G114" s="139">
        <f t="shared" si="1"/>
        <v>99514.8263518253</v>
      </c>
      <c r="H114" s="139">
        <f t="shared" si="1"/>
        <v>2460809.764689746</v>
      </c>
      <c r="I114" s="139">
        <f t="shared" si="1"/>
        <v>2759373.7134639043</v>
      </c>
      <c r="J114" s="139">
        <f t="shared" si="1"/>
        <v>30533.1</v>
      </c>
      <c r="K114" s="139">
        <f t="shared" si="1"/>
        <v>1869299.241111111</v>
      </c>
      <c r="L114" s="139">
        <f t="shared" si="1"/>
        <v>50061.66924567843</v>
      </c>
      <c r="M114" s="125">
        <f>SUM(E114:L114)</f>
        <v>7523458.401966642</v>
      </c>
      <c r="N114" s="54"/>
      <c r="O114" s="136"/>
      <c r="P114" s="136"/>
      <c r="Q114" s="136"/>
      <c r="R114" s="136"/>
      <c r="S114" s="136"/>
      <c r="T114" s="136"/>
      <c r="U114" s="136"/>
      <c r="V114" s="136"/>
      <c r="W114" s="136"/>
      <c r="X114" s="136"/>
    </row>
    <row r="115" spans="2:24" ht="12.75" outlineLevel="1">
      <c r="B115" s="170"/>
      <c r="C115" s="191"/>
      <c r="D115" s="191"/>
      <c r="E115" s="54"/>
      <c r="F115" s="54"/>
      <c r="G115" s="49"/>
      <c r="H115" s="49"/>
      <c r="I115" s="54"/>
      <c r="J115" s="54"/>
      <c r="K115" s="49"/>
      <c r="L115" s="49"/>
      <c r="M115" s="47"/>
      <c r="N115" s="47"/>
      <c r="O115" s="133"/>
      <c r="P115" s="133"/>
      <c r="Q115" s="133"/>
      <c r="R115" s="133"/>
      <c r="S115" s="133"/>
      <c r="T115" s="133"/>
      <c r="U115" s="133"/>
      <c r="V115" s="133"/>
      <c r="W115" s="133"/>
      <c r="X115" s="133"/>
    </row>
    <row r="116" spans="2:24" ht="12.75" outlineLevel="1">
      <c r="B116" s="172" t="s">
        <v>238</v>
      </c>
      <c r="C116" s="190"/>
      <c r="D116" s="190"/>
      <c r="E116" s="54"/>
      <c r="F116" s="54"/>
      <c r="G116" s="49"/>
      <c r="H116" s="49"/>
      <c r="I116" s="54"/>
      <c r="J116" s="54"/>
      <c r="K116" s="49"/>
      <c r="L116" s="49"/>
      <c r="M116" s="47"/>
      <c r="N116" s="47"/>
      <c r="O116" s="133"/>
      <c r="P116" s="133"/>
      <c r="Q116" s="133"/>
      <c r="R116" s="133"/>
      <c r="S116" s="133"/>
      <c r="T116" s="133"/>
      <c r="U116" s="133"/>
      <c r="V116" s="133"/>
      <c r="W116" s="133"/>
      <c r="X116" s="133"/>
    </row>
    <row r="117" spans="2:24" ht="12.75" outlineLevel="1">
      <c r="B117" s="170" t="s">
        <v>239</v>
      </c>
      <c r="C117" s="191"/>
      <c r="D117" s="191"/>
      <c r="E117" s="139">
        <f aca="true" t="shared" si="2" ref="E117:L117">E$7*E106</f>
        <v>21440</v>
      </c>
      <c r="F117" s="139">
        <f t="shared" si="2"/>
        <v>81115.33333333333</v>
      </c>
      <c r="G117" s="139">
        <f t="shared" si="2"/>
        <v>40214.5</v>
      </c>
      <c r="H117" s="139">
        <f t="shared" si="2"/>
        <v>889401.0101010099</v>
      </c>
      <c r="I117" s="139">
        <f t="shared" si="2"/>
        <v>494083.12179984484</v>
      </c>
      <c r="J117" s="139">
        <f t="shared" si="2"/>
        <v>17296</v>
      </c>
      <c r="K117" s="139">
        <f t="shared" si="2"/>
        <v>596813.0370370371</v>
      </c>
      <c r="L117" s="139">
        <f t="shared" si="2"/>
        <v>22644</v>
      </c>
      <c r="M117" s="125">
        <f aca="true" t="shared" si="3" ref="M117:M122">SUM(E117:L117)</f>
        <v>2163007.0022712247</v>
      </c>
      <c r="N117" s="54"/>
      <c r="O117" s="136"/>
      <c r="P117" s="136"/>
      <c r="Q117" s="136"/>
      <c r="R117" s="136"/>
      <c r="S117" s="136"/>
      <c r="T117" s="136"/>
      <c r="U117" s="136"/>
      <c r="V117" s="136"/>
      <c r="W117" s="136"/>
      <c r="X117" s="136"/>
    </row>
    <row r="118" spans="2:24" ht="12.75" outlineLevel="1">
      <c r="B118" s="170" t="s">
        <v>494</v>
      </c>
      <c r="C118" s="191"/>
      <c r="D118" s="191"/>
      <c r="E118" s="139">
        <f aca="true" t="shared" si="4" ref="E118:L118">E$8*(E102+E97)</f>
        <v>49054</v>
      </c>
      <c r="F118" s="139">
        <f t="shared" si="4"/>
        <v>194640.21312289563</v>
      </c>
      <c r="G118" s="139">
        <f t="shared" si="4"/>
        <v>96533.3643791177</v>
      </c>
      <c r="H118" s="139">
        <f t="shared" si="4"/>
        <v>2350125.8412932167</v>
      </c>
      <c r="I118" s="139">
        <f t="shared" si="4"/>
        <v>2645082.7916899603</v>
      </c>
      <c r="J118" s="139">
        <f t="shared" si="4"/>
        <v>29281.6</v>
      </c>
      <c r="K118" s="139">
        <f t="shared" si="4"/>
        <v>1800174.4633333331</v>
      </c>
      <c r="L118" s="139">
        <f t="shared" si="4"/>
        <v>45328.271401941856</v>
      </c>
      <c r="M118" s="125">
        <f t="shared" si="3"/>
        <v>7210220.5452204645</v>
      </c>
      <c r="N118" s="54"/>
      <c r="O118" s="136"/>
      <c r="P118" s="136"/>
      <c r="Q118" s="136"/>
      <c r="R118" s="136"/>
      <c r="S118" s="136"/>
      <c r="T118" s="136"/>
      <c r="U118" s="136"/>
      <c r="V118" s="136"/>
      <c r="W118" s="136"/>
      <c r="X118" s="136"/>
    </row>
    <row r="119" spans="2:24" ht="12.75" outlineLevel="1">
      <c r="B119" s="170" t="s">
        <v>241</v>
      </c>
      <c r="C119" s="191"/>
      <c r="D119" s="191"/>
      <c r="E119" s="139">
        <f aca="true" t="shared" si="5" ref="E119:L119">E$9*(E92+E86)</f>
        <v>838</v>
      </c>
      <c r="F119" s="139">
        <f t="shared" si="5"/>
        <v>4249.461161317873</v>
      </c>
      <c r="G119" s="139">
        <f t="shared" si="5"/>
        <v>1157.1669976331443</v>
      </c>
      <c r="H119" s="139">
        <f t="shared" si="5"/>
        <v>55920.71112334471</v>
      </c>
      <c r="I119" s="139">
        <f t="shared" si="5"/>
        <v>54179.40124963086</v>
      </c>
      <c r="J119" s="139">
        <f t="shared" si="5"/>
        <v>579.5327800829875</v>
      </c>
      <c r="K119" s="139">
        <f t="shared" si="5"/>
        <v>36649.00000000001</v>
      </c>
      <c r="L119" s="139">
        <f t="shared" si="5"/>
        <v>1907.8149902780797</v>
      </c>
      <c r="M119" s="125">
        <f t="shared" si="3"/>
        <v>155481.08830228765</v>
      </c>
      <c r="N119" s="54"/>
      <c r="O119" s="136"/>
      <c r="P119" s="136"/>
      <c r="Q119" s="136"/>
      <c r="R119" s="136"/>
      <c r="S119" s="136"/>
      <c r="T119" s="136"/>
      <c r="U119" s="136"/>
      <c r="V119" s="136"/>
      <c r="W119" s="136"/>
      <c r="X119" s="136"/>
    </row>
    <row r="120" spans="2:24" ht="12.75" outlineLevel="1">
      <c r="B120" s="170" t="s">
        <v>242</v>
      </c>
      <c r="C120" s="191"/>
      <c r="D120" s="191"/>
      <c r="E120" s="139">
        <f aca="true" t="shared" si="6" ref="E120:L120">E$10*(E92+E86)</f>
        <v>268</v>
      </c>
      <c r="F120" s="139">
        <f t="shared" si="6"/>
        <v>1907.0784981096826</v>
      </c>
      <c r="G120" s="139">
        <f t="shared" si="6"/>
        <v>604.3491797004533</v>
      </c>
      <c r="H120" s="139">
        <f t="shared" si="6"/>
        <v>21899.90894508556</v>
      </c>
      <c r="I120" s="139">
        <f t="shared" si="6"/>
        <v>22143.886435391527</v>
      </c>
      <c r="J120" s="139">
        <f t="shared" si="6"/>
        <v>294.0361456892577</v>
      </c>
      <c r="K120" s="139">
        <f t="shared" si="6"/>
        <v>11742</v>
      </c>
      <c r="L120" s="139">
        <f t="shared" si="6"/>
        <v>1121.8197179995902</v>
      </c>
      <c r="M120" s="125">
        <f t="shared" si="3"/>
        <v>59981.07892197607</v>
      </c>
      <c r="N120" s="54"/>
      <c r="O120" s="136"/>
      <c r="P120" s="136"/>
      <c r="Q120" s="136"/>
      <c r="R120" s="136"/>
      <c r="S120" s="136"/>
      <c r="T120" s="136"/>
      <c r="U120" s="136"/>
      <c r="V120" s="136"/>
      <c r="W120" s="136"/>
      <c r="X120" s="136"/>
    </row>
    <row r="121" spans="2:24" ht="12.75" outlineLevel="1">
      <c r="B121" s="170" t="s">
        <v>243</v>
      </c>
      <c r="C121" s="191"/>
      <c r="D121" s="191"/>
      <c r="E121" s="139">
        <f aca="true" t="shared" si="7" ref="E121:L121">E$11*(E92+E86)</f>
        <v>240</v>
      </c>
      <c r="F121" s="139">
        <f t="shared" si="7"/>
        <v>1346.3697697966852</v>
      </c>
      <c r="G121" s="139">
        <f t="shared" si="7"/>
        <v>1114.7902044315697</v>
      </c>
      <c r="H121" s="139">
        <f t="shared" si="7"/>
        <v>19967.534590218136</v>
      </c>
      <c r="I121" s="139">
        <f t="shared" si="7"/>
        <v>21917.852752274946</v>
      </c>
      <c r="J121" s="139">
        <f t="shared" si="7"/>
        <v>229.29741816505302</v>
      </c>
      <c r="K121" s="139">
        <f t="shared" si="7"/>
        <v>13814</v>
      </c>
      <c r="L121" s="139">
        <f t="shared" si="7"/>
        <v>944.1614192172477</v>
      </c>
      <c r="M121" s="125">
        <f t="shared" si="3"/>
        <v>59574.006154103634</v>
      </c>
      <c r="N121" s="54"/>
      <c r="O121" s="136"/>
      <c r="P121" s="136"/>
      <c r="Q121" s="136"/>
      <c r="R121" s="136"/>
      <c r="S121" s="136"/>
      <c r="T121" s="136"/>
      <c r="U121" s="136"/>
      <c r="V121" s="136"/>
      <c r="W121" s="136"/>
      <c r="X121" s="136"/>
    </row>
    <row r="122" spans="2:24" ht="12.75" outlineLevel="1">
      <c r="B122" s="170" t="s">
        <v>244</v>
      </c>
      <c r="C122" s="191"/>
      <c r="D122" s="191"/>
      <c r="E122" s="139">
        <f aca="true" t="shared" si="8" ref="E122:L122">E$12*(E92+E86)</f>
        <v>224</v>
      </c>
      <c r="F122" s="139">
        <f t="shared" si="8"/>
        <v>1098.8711152852484</v>
      </c>
      <c r="G122" s="139">
        <f t="shared" si="8"/>
        <v>105.15559094241469</v>
      </c>
      <c r="H122" s="139">
        <f t="shared" si="8"/>
        <v>12895.845435591918</v>
      </c>
      <c r="I122" s="139">
        <f t="shared" si="8"/>
        <v>16049.781336646682</v>
      </c>
      <c r="J122" s="139">
        <f t="shared" si="8"/>
        <v>148.6336560627017</v>
      </c>
      <c r="K122" s="139">
        <f t="shared" si="8"/>
        <v>6920</v>
      </c>
      <c r="L122" s="139">
        <f t="shared" si="8"/>
        <v>759.6017162416533</v>
      </c>
      <c r="M122" s="125">
        <f t="shared" si="3"/>
        <v>38201.88885077062</v>
      </c>
      <c r="N122" s="54"/>
      <c r="O122" s="136"/>
      <c r="P122" s="136"/>
      <c r="Q122" s="136"/>
      <c r="R122" s="136"/>
      <c r="S122" s="136"/>
      <c r="T122" s="136"/>
      <c r="U122" s="136"/>
      <c r="V122" s="136"/>
      <c r="W122" s="136"/>
      <c r="X122" s="136"/>
    </row>
    <row r="123" spans="2:24" ht="12.75" outlineLevel="1">
      <c r="B123" s="170" t="s">
        <v>247</v>
      </c>
      <c r="C123" s="170"/>
      <c r="D123" s="170"/>
      <c r="E123" s="54"/>
      <c r="F123" s="54"/>
      <c r="G123" s="49"/>
      <c r="H123" s="49"/>
      <c r="I123" s="54"/>
      <c r="J123" s="54"/>
      <c r="K123" s="49"/>
      <c r="L123" s="49"/>
      <c r="M123" s="47"/>
      <c r="N123" s="47"/>
      <c r="O123" s="133"/>
      <c r="P123" s="133"/>
      <c r="Q123" s="133"/>
      <c r="R123" s="133"/>
      <c r="S123" s="133"/>
      <c r="T123" s="133"/>
      <c r="U123" s="133"/>
      <c r="V123" s="133"/>
      <c r="W123" s="133"/>
      <c r="X123" s="133"/>
    </row>
    <row r="124" spans="2:24" ht="12.75" outlineLevel="1">
      <c r="B124" s="171" t="s">
        <v>227</v>
      </c>
      <c r="C124" s="171"/>
      <c r="D124" s="171"/>
      <c r="E124" s="54"/>
      <c r="F124" s="54"/>
      <c r="G124" s="49"/>
      <c r="H124" s="49"/>
      <c r="I124" s="54"/>
      <c r="J124" s="54"/>
      <c r="K124" s="49"/>
      <c r="L124" s="49"/>
      <c r="M124" s="47"/>
      <c r="N124" s="47"/>
      <c r="O124" s="133"/>
      <c r="P124" s="133"/>
      <c r="Q124" s="133"/>
      <c r="R124" s="133"/>
      <c r="S124" s="133"/>
      <c r="T124" s="133"/>
      <c r="U124" s="133"/>
      <c r="V124" s="133"/>
      <c r="W124" s="133"/>
      <c r="X124" s="133"/>
    </row>
    <row r="125" spans="2:24" ht="12.75" outlineLevel="1">
      <c r="B125" s="170" t="s">
        <v>247</v>
      </c>
      <c r="C125" s="170"/>
      <c r="D125" s="170"/>
      <c r="E125" s="51"/>
      <c r="F125" s="51"/>
      <c r="G125" s="49"/>
      <c r="H125" s="49"/>
      <c r="I125" s="54"/>
      <c r="J125" s="54"/>
      <c r="K125" s="49"/>
      <c r="L125" s="49"/>
      <c r="M125" s="47"/>
      <c r="N125" s="47"/>
      <c r="O125" s="133"/>
      <c r="P125" s="133"/>
      <c r="Q125" s="133"/>
      <c r="R125" s="133"/>
      <c r="S125" s="133"/>
      <c r="T125" s="133"/>
      <c r="U125" s="133"/>
      <c r="V125" s="133"/>
      <c r="W125" s="133"/>
      <c r="X125" s="133"/>
    </row>
    <row r="126" spans="2:24" ht="12.75" outlineLevel="1">
      <c r="B126" s="169" t="s">
        <v>348</v>
      </c>
      <c r="C126" s="169"/>
      <c r="D126" s="169"/>
      <c r="E126" s="140">
        <f>'PAV (incl RV)'!E126</f>
        <v>21440</v>
      </c>
      <c r="F126" s="140">
        <f>'PAV (incl RV)'!J126</f>
        <v>81115.33333333333</v>
      </c>
      <c r="G126" s="140">
        <f>'PAV (incl RV)'!T126</f>
        <v>40214.5</v>
      </c>
      <c r="H126" s="113">
        <f>O126+P126</f>
        <v>889264</v>
      </c>
      <c r="I126" s="113">
        <f>R126+S126</f>
        <v>713241</v>
      </c>
      <c r="J126" s="140">
        <f>'PAV (incl RV)'!AD126</f>
        <v>17296</v>
      </c>
      <c r="K126" s="113">
        <f>SUM(U126:X126)</f>
        <v>734996</v>
      </c>
      <c r="L126" s="140">
        <f>'PAV (incl RV)'!AN126</f>
        <v>22644</v>
      </c>
      <c r="M126" s="125">
        <f aca="true" t="shared" si="9" ref="M126:M131">SUM(E126:L126)</f>
        <v>2520210.833333333</v>
      </c>
      <c r="N126" s="55"/>
      <c r="O126" s="150">
        <f>'PAV (incl RV)'!O126</f>
        <v>874277</v>
      </c>
      <c r="P126" s="150">
        <f>'PAV (incl RV)'!AS126</f>
        <v>14987</v>
      </c>
      <c r="Q126" s="137"/>
      <c r="R126" s="150">
        <f>'PAV (incl RV)'!Y126</f>
        <v>713241</v>
      </c>
      <c r="S126" s="150"/>
      <c r="T126" s="137"/>
      <c r="U126" s="148">
        <f>'PAV (incl RV)'!AI126</f>
        <v>726649</v>
      </c>
      <c r="V126" s="136"/>
      <c r="W126" s="136"/>
      <c r="X126" s="149">
        <f>'PAV (incl RV)'!AX126</f>
        <v>8347</v>
      </c>
    </row>
    <row r="127" spans="2:24" ht="12.75" outlineLevel="1">
      <c r="B127" s="169" t="s">
        <v>349</v>
      </c>
      <c r="C127" s="169"/>
      <c r="D127" s="169"/>
      <c r="E127" s="140">
        <f>'PAV (incl RV)'!E127</f>
        <v>49054</v>
      </c>
      <c r="F127" s="140">
        <f>'PAV (incl RV)'!J127</f>
        <v>187350.65083333338</v>
      </c>
      <c r="G127" s="140">
        <f>'PAV (incl RV)'!T127</f>
        <v>95165.14675916571</v>
      </c>
      <c r="H127" s="113">
        <f aca="true" t="shared" si="10" ref="H127:H133">O127+P127</f>
        <v>2402350</v>
      </c>
      <c r="I127" s="113">
        <f aca="true" t="shared" si="11" ref="I127:I133">R127+S127</f>
        <v>2635276.1177361207</v>
      </c>
      <c r="J127" s="140">
        <f>'PAV (incl RV)'!AD127</f>
        <v>29252.6</v>
      </c>
      <c r="K127" s="113">
        <f aca="true" t="shared" si="12" ref="K127:K133">SUM(U127:X127)</f>
        <v>1801973.4124027686</v>
      </c>
      <c r="L127" s="140">
        <f>'PAV (incl RV)'!AN127</f>
        <v>45318.28727556596</v>
      </c>
      <c r="M127" s="125">
        <f t="shared" si="9"/>
        <v>7245740.215006954</v>
      </c>
      <c r="N127" s="55"/>
      <c r="O127" s="150">
        <f>'PAV (incl RV)'!O127</f>
        <v>2357951</v>
      </c>
      <c r="P127" s="150">
        <f>'PAV (incl RV)'!AS127</f>
        <v>44399</v>
      </c>
      <c r="Q127" s="137"/>
      <c r="R127" s="150">
        <f>'PAV (incl RV)'!Y127</f>
        <v>2635276.1177361207</v>
      </c>
      <c r="S127" s="150"/>
      <c r="T127" s="137"/>
      <c r="U127" s="148">
        <f>'PAV (incl RV)'!AI127</f>
        <v>1766882.4124027686</v>
      </c>
      <c r="V127" s="136"/>
      <c r="W127" s="136"/>
      <c r="X127" s="149">
        <f>'PAV (incl RV)'!AX127</f>
        <v>35091</v>
      </c>
    </row>
    <row r="128" spans="2:24" ht="12.75" outlineLevel="1">
      <c r="B128" s="169" t="s">
        <v>350</v>
      </c>
      <c r="C128" s="169"/>
      <c r="D128" s="169"/>
      <c r="E128" s="140">
        <f>'PAV (incl RV)'!E128</f>
        <v>1570</v>
      </c>
      <c r="F128" s="140">
        <f>'PAV (incl RV)'!J128</f>
        <v>7671.725833333333</v>
      </c>
      <c r="G128" s="140">
        <f>'PAV (incl RV)'!T128</f>
        <v>2922.9804776196197</v>
      </c>
      <c r="H128" s="113">
        <f t="shared" si="10"/>
        <v>64972</v>
      </c>
      <c r="I128" s="113">
        <f t="shared" si="11"/>
        <v>109906.48324174318</v>
      </c>
      <c r="J128" s="140">
        <f>'PAV (incl RV)'!AD128</f>
        <v>1084.5</v>
      </c>
      <c r="K128" s="113">
        <f t="shared" si="12"/>
        <v>67576.87601094936</v>
      </c>
      <c r="L128" s="140">
        <f>'PAV (incl RV)'!AN128</f>
        <v>4410.18389831015</v>
      </c>
      <c r="M128" s="125">
        <f t="shared" si="9"/>
        <v>260114.74946195565</v>
      </c>
      <c r="N128" s="55"/>
      <c r="O128" s="150">
        <f>'PAV (incl RV)'!O128</f>
        <v>63442</v>
      </c>
      <c r="P128" s="150">
        <f>'PAV (incl RV)'!AS128</f>
        <v>1530</v>
      </c>
      <c r="Q128" s="137"/>
      <c r="R128" s="150">
        <f>'PAV (incl RV)'!Y128</f>
        <v>109906.48324174318</v>
      </c>
      <c r="S128" s="150"/>
      <c r="T128" s="137"/>
      <c r="U128" s="148">
        <f>'PAV (incl RV)'!AI128</f>
        <v>65706.87601094936</v>
      </c>
      <c r="V128" s="136"/>
      <c r="W128" s="136"/>
      <c r="X128" s="149">
        <f>'PAV (incl RV)'!AX128</f>
        <v>1870</v>
      </c>
    </row>
    <row r="129" spans="2:24" ht="12.75" outlineLevel="1">
      <c r="B129" s="169" t="s">
        <v>341</v>
      </c>
      <c r="C129" s="169"/>
      <c r="D129" s="169"/>
      <c r="E129" s="140">
        <f>'PAV (incl RV)'!E129</f>
        <v>496</v>
      </c>
      <c r="F129" s="140">
        <f>'PAV (incl RV)'!J129</f>
        <v>1679.1666666666667</v>
      </c>
      <c r="G129" s="140">
        <f>'PAV (incl RV)'!T129</f>
        <v>739.7711606757068</v>
      </c>
      <c r="H129" s="113">
        <f t="shared" si="10"/>
        <v>31863</v>
      </c>
      <c r="I129" s="113">
        <f t="shared" si="11"/>
        <v>13735</v>
      </c>
      <c r="J129" s="140">
        <f>'PAV (incl RV)'!AD129</f>
        <v>215.3</v>
      </c>
      <c r="K129" s="113">
        <f t="shared" si="12"/>
        <v>17435.136023627903</v>
      </c>
      <c r="L129" s="140">
        <f>'PAV (incl RV)'!AN129</f>
        <v>1204.9875118390762</v>
      </c>
      <c r="M129" s="125">
        <f t="shared" si="9"/>
        <v>67368.36136280936</v>
      </c>
      <c r="N129" s="55"/>
      <c r="O129" s="150">
        <f>'PAV (incl RV)'!O129</f>
        <v>31578</v>
      </c>
      <c r="P129" s="150">
        <f>'PAV (incl RV)'!AS129</f>
        <v>285</v>
      </c>
      <c r="Q129" s="137"/>
      <c r="R129" s="150">
        <f>'PAV (incl RV)'!Y129</f>
        <v>13735</v>
      </c>
      <c r="S129" s="150"/>
      <c r="T129" s="137"/>
      <c r="U129" s="148">
        <f>'PAV (incl RV)'!AI129</f>
        <v>17128.136023627903</v>
      </c>
      <c r="V129" s="136"/>
      <c r="W129" s="136"/>
      <c r="X129" s="149">
        <f>'PAV (incl RV)'!AX129</f>
        <v>307</v>
      </c>
    </row>
    <row r="130" spans="2:24" ht="12.75" outlineLevel="1">
      <c r="B130" s="169" t="s">
        <v>343</v>
      </c>
      <c r="C130" s="169"/>
      <c r="D130" s="169"/>
      <c r="E130" s="140">
        <f>'PAV (incl RV)'!E130</f>
        <v>31</v>
      </c>
      <c r="F130" s="140">
        <f>'PAV (incl RV)'!J130</f>
        <v>315.25</v>
      </c>
      <c r="G130" s="140">
        <f>'PAV (incl RV)'!T130</f>
        <v>581.1253609057519</v>
      </c>
      <c r="H130" s="113">
        <f t="shared" si="10"/>
        <v>9022</v>
      </c>
      <c r="I130" s="113">
        <f t="shared" si="11"/>
        <v>11818</v>
      </c>
      <c r="J130" s="140">
        <f>'PAV (incl RV)'!AD130</f>
        <v>20</v>
      </c>
      <c r="K130" s="113">
        <f t="shared" si="12"/>
        <v>2828.4379714543707</v>
      </c>
      <c r="L130" s="140">
        <f>'PAV (incl RV)'!AN130</f>
        <v>178.16782899230827</v>
      </c>
      <c r="M130" s="125">
        <f t="shared" si="9"/>
        <v>24793.981161352433</v>
      </c>
      <c r="N130" s="55"/>
      <c r="O130" s="150">
        <f>'PAV (incl RV)'!O130</f>
        <v>8949</v>
      </c>
      <c r="P130" s="150">
        <f>'PAV (incl RV)'!AS130</f>
        <v>73</v>
      </c>
      <c r="Q130" s="137"/>
      <c r="R130" s="150">
        <f>'PAV (incl RV)'!Y130</f>
        <v>11818</v>
      </c>
      <c r="S130" s="150"/>
      <c r="T130" s="137"/>
      <c r="U130" s="148">
        <f>'PAV (incl RV)'!AI130</f>
        <v>2805.4379714543707</v>
      </c>
      <c r="V130" s="136"/>
      <c r="W130" s="136"/>
      <c r="X130" s="149">
        <f>'PAV (incl RV)'!AX130</f>
        <v>23</v>
      </c>
    </row>
    <row r="131" spans="2:24" ht="12.75" outlineLevel="1">
      <c r="B131" s="169" t="s">
        <v>345</v>
      </c>
      <c r="C131" s="169"/>
      <c r="D131" s="169"/>
      <c r="E131" s="140">
        <f>'PAV (incl RV)'!E131</f>
        <v>0</v>
      </c>
      <c r="F131" s="140">
        <f>'PAV (incl RV)'!J131</f>
        <v>10</v>
      </c>
      <c r="G131" s="140">
        <f>'PAV (incl RV)'!T131</f>
        <v>0</v>
      </c>
      <c r="H131" s="113">
        <f t="shared" si="10"/>
        <v>173.79244723410102</v>
      </c>
      <c r="I131" s="113">
        <f t="shared" si="11"/>
        <v>165</v>
      </c>
      <c r="J131" s="140">
        <f>'PAV (incl RV)'!AD131</f>
        <v>0</v>
      </c>
      <c r="K131" s="113">
        <f t="shared" si="12"/>
        <v>2</v>
      </c>
      <c r="L131" s="140">
        <f>'PAV (incl RV)'!AN131</f>
        <v>16.858060927577267</v>
      </c>
      <c r="M131" s="125">
        <f t="shared" si="9"/>
        <v>367.65050816167826</v>
      </c>
      <c r="N131" s="55"/>
      <c r="O131" s="150">
        <f>'PAV (incl RV)'!O131</f>
        <v>154.79244723410102</v>
      </c>
      <c r="P131" s="150">
        <f>'PAV (incl RV)'!AS131</f>
        <v>19</v>
      </c>
      <c r="Q131" s="137"/>
      <c r="R131" s="150">
        <f>'PAV (incl RV)'!Y131</f>
        <v>165</v>
      </c>
      <c r="S131" s="150"/>
      <c r="T131" s="137"/>
      <c r="U131" s="148">
        <f>'PAV (incl RV)'!AI131</f>
        <v>0</v>
      </c>
      <c r="V131" s="136"/>
      <c r="W131" s="136"/>
      <c r="X131" s="149">
        <f>'PAV (incl RV)'!AX131</f>
        <v>2</v>
      </c>
    </row>
    <row r="132" spans="2:24" s="44" customFormat="1" ht="12.75" outlineLevel="1">
      <c r="B132" s="170"/>
      <c r="C132" s="170"/>
      <c r="D132" s="170"/>
      <c r="E132" s="207"/>
      <c r="F132" s="55"/>
      <c r="G132" s="207"/>
      <c r="H132" s="55"/>
      <c r="I132" s="55"/>
      <c r="J132" s="207"/>
      <c r="K132" s="207"/>
      <c r="L132" s="55"/>
      <c r="M132" s="55"/>
      <c r="N132" s="55"/>
      <c r="O132" s="137"/>
      <c r="P132" s="137"/>
      <c r="Q132" s="137"/>
      <c r="R132" s="137"/>
      <c r="S132" s="137"/>
      <c r="T132" s="137"/>
      <c r="U132" s="137"/>
      <c r="V132" s="137"/>
      <c r="W132" s="137"/>
      <c r="X132" s="137"/>
    </row>
    <row r="133" spans="2:24" ht="12.75" outlineLevel="1">
      <c r="B133" s="170" t="s">
        <v>230</v>
      </c>
      <c r="C133" s="170"/>
      <c r="D133" s="170"/>
      <c r="E133" s="140">
        <f>'PAV (incl RV)'!E135</f>
        <v>0</v>
      </c>
      <c r="F133" s="140">
        <f>'PAV (incl RV)'!J135</f>
        <v>104124</v>
      </c>
      <c r="G133" s="140">
        <f>'PAV (incl RV)'!T135</f>
        <v>0</v>
      </c>
      <c r="H133" s="113">
        <f t="shared" si="10"/>
        <v>0</v>
      </c>
      <c r="I133" s="113">
        <f t="shared" si="11"/>
        <v>532006</v>
      </c>
      <c r="J133" s="140">
        <f>'PAV (incl RV)'!AD135</f>
        <v>5615</v>
      </c>
      <c r="K133" s="113">
        <f t="shared" si="12"/>
        <v>253202</v>
      </c>
      <c r="L133" s="140">
        <f>'PAV (incl RV)'!AN135</f>
        <v>1533.3333333333333</v>
      </c>
      <c r="M133" s="125">
        <f>SUM(E133:L133)</f>
        <v>896480.3333333334</v>
      </c>
      <c r="N133" s="55"/>
      <c r="O133" s="150">
        <f>'PAV (incl RV)'!O135</f>
        <v>0</v>
      </c>
      <c r="P133" s="150">
        <f>'PAV (incl RV)'!AS135</f>
        <v>0</v>
      </c>
      <c r="Q133" s="137"/>
      <c r="R133" s="150">
        <f>'PAV (incl RV)'!Y135</f>
        <v>532006</v>
      </c>
      <c r="S133" s="150"/>
      <c r="T133" s="137"/>
      <c r="U133" s="148">
        <f>'PAV (incl RV)'!AI135</f>
        <v>253202</v>
      </c>
      <c r="V133" s="136"/>
      <c r="W133" s="136"/>
      <c r="X133" s="149">
        <f>'PAV (incl RV)'!AX135</f>
        <v>0</v>
      </c>
    </row>
    <row r="134" spans="2:24" ht="12.75" outlineLevel="1">
      <c r="B134" s="170" t="s">
        <v>247</v>
      </c>
      <c r="C134" s="170"/>
      <c r="D134" s="170"/>
      <c r="E134" s="55"/>
      <c r="F134" s="55"/>
      <c r="G134" s="55"/>
      <c r="H134" s="55"/>
      <c r="I134" s="55"/>
      <c r="J134" s="55"/>
      <c r="K134" s="55"/>
      <c r="L134" s="55"/>
      <c r="M134" s="55"/>
      <c r="N134" s="55"/>
      <c r="O134" s="137"/>
      <c r="P134" s="137"/>
      <c r="Q134" s="137"/>
      <c r="R134" s="137"/>
      <c r="S134" s="137"/>
      <c r="T134" s="137"/>
      <c r="U134" s="137"/>
      <c r="V134" s="137"/>
      <c r="W134" s="137"/>
      <c r="X134" s="137"/>
    </row>
    <row r="135" spans="5:24" ht="12.75">
      <c r="E135" s="66"/>
      <c r="F135" s="66"/>
      <c r="G135" s="66"/>
      <c r="H135" s="66"/>
      <c r="I135" s="66"/>
      <c r="J135" s="66"/>
      <c r="K135" s="66"/>
      <c r="L135" s="66"/>
      <c r="M135" s="66"/>
      <c r="N135" s="66"/>
      <c r="O135" s="208"/>
      <c r="P135" s="208"/>
      <c r="Q135" s="208"/>
      <c r="R135" s="208"/>
      <c r="S135" s="208"/>
      <c r="T135" s="208"/>
      <c r="U135" s="208"/>
      <c r="V135" s="208"/>
      <c r="W135" s="208"/>
      <c r="X135" s="208"/>
    </row>
    <row r="136" spans="2:24" s="42" customFormat="1" ht="12.75">
      <c r="B136" s="78" t="s">
        <v>487</v>
      </c>
      <c r="C136" s="78"/>
      <c r="D136" s="78"/>
      <c r="E136" s="204"/>
      <c r="F136" s="204"/>
      <c r="G136" s="204"/>
      <c r="H136" s="204"/>
      <c r="I136" s="204"/>
      <c r="J136" s="204"/>
      <c r="K136" s="204"/>
      <c r="L136" s="204"/>
      <c r="M136" s="204"/>
      <c r="N136" s="204"/>
      <c r="O136" s="205"/>
      <c r="P136" s="205"/>
      <c r="Q136" s="205"/>
      <c r="R136" s="205"/>
      <c r="S136" s="205"/>
      <c r="T136" s="205"/>
      <c r="U136" s="205"/>
      <c r="V136" s="205"/>
      <c r="W136" s="205"/>
      <c r="X136" s="205"/>
    </row>
    <row r="137" spans="5:24" ht="12.75">
      <c r="E137" s="47"/>
      <c r="F137" s="47"/>
      <c r="G137" s="47"/>
      <c r="H137" s="47"/>
      <c r="I137" s="47"/>
      <c r="J137" s="47"/>
      <c r="K137" s="47"/>
      <c r="L137" s="47"/>
      <c r="M137" s="47"/>
      <c r="N137" s="47"/>
      <c r="O137" s="133"/>
      <c r="P137" s="133"/>
      <c r="Q137" s="133"/>
      <c r="R137" s="133"/>
      <c r="S137" s="133"/>
      <c r="T137" s="133"/>
      <c r="U137" s="133"/>
      <c r="V137" s="133"/>
      <c r="W137" s="133"/>
      <c r="X137" s="133"/>
    </row>
    <row r="138" spans="2:24" ht="12.75" outlineLevel="1">
      <c r="B138" s="279" t="s">
        <v>504</v>
      </c>
      <c r="C138" s="170"/>
      <c r="D138" s="170"/>
      <c r="E138" s="65"/>
      <c r="F138" s="65"/>
      <c r="G138" s="65"/>
      <c r="H138" s="65"/>
      <c r="I138" s="65"/>
      <c r="J138" s="65"/>
      <c r="K138" s="65"/>
      <c r="L138" s="65"/>
      <c r="M138" s="65"/>
      <c r="N138" s="65"/>
      <c r="O138" s="206"/>
      <c r="P138" s="206"/>
      <c r="Q138" s="206"/>
      <c r="R138" s="206"/>
      <c r="S138" s="206"/>
      <c r="T138" s="206"/>
      <c r="U138" s="206"/>
      <c r="V138" s="206"/>
      <c r="W138" s="206"/>
      <c r="X138" s="206"/>
    </row>
    <row r="139" spans="3:24" ht="12.75" outlineLevel="1">
      <c r="C139" s="170"/>
      <c r="D139" s="170"/>
      <c r="E139" s="65"/>
      <c r="F139" s="65"/>
      <c r="G139" s="65"/>
      <c r="H139" s="65"/>
      <c r="I139" s="65"/>
      <c r="J139" s="65"/>
      <c r="K139" s="65"/>
      <c r="L139" s="65"/>
      <c r="M139" s="65"/>
      <c r="N139" s="65"/>
      <c r="O139" s="206"/>
      <c r="P139" s="206"/>
      <c r="Q139" s="206"/>
      <c r="R139" s="206"/>
      <c r="S139" s="206"/>
      <c r="T139" s="206"/>
      <c r="U139" s="206"/>
      <c r="V139" s="206"/>
      <c r="W139" s="206"/>
      <c r="X139" s="206"/>
    </row>
    <row r="140" spans="2:24" ht="12.75" outlineLevel="1">
      <c r="B140" s="172" t="s">
        <v>198</v>
      </c>
      <c r="C140" s="170"/>
      <c r="D140" s="170"/>
      <c r="E140" s="65"/>
      <c r="F140" s="65"/>
      <c r="G140" s="65"/>
      <c r="H140" s="65"/>
      <c r="I140" s="65"/>
      <c r="J140" s="65"/>
      <c r="K140" s="65"/>
      <c r="L140" s="65"/>
      <c r="M140" s="65"/>
      <c r="N140" s="65"/>
      <c r="O140" s="206"/>
      <c r="P140" s="206"/>
      <c r="Q140" s="206"/>
      <c r="R140" s="206"/>
      <c r="S140" s="206"/>
      <c r="T140" s="206"/>
      <c r="U140" s="206"/>
      <c r="V140" s="206"/>
      <c r="W140" s="206"/>
      <c r="X140" s="206"/>
    </row>
    <row r="141" spans="2:24" ht="12.75" outlineLevel="1">
      <c r="B141" s="170" t="s">
        <v>199</v>
      </c>
      <c r="C141" s="170"/>
      <c r="D141" s="170"/>
      <c r="E141" s="45">
        <v>0</v>
      </c>
      <c r="F141" s="45">
        <v>10</v>
      </c>
      <c r="G141" s="46">
        <v>0</v>
      </c>
      <c r="H141" s="125">
        <f>O141+P141</f>
        <v>20</v>
      </c>
      <c r="I141" s="125">
        <f>R141+S141</f>
        <v>20.237628461147285</v>
      </c>
      <c r="J141" s="45">
        <v>0</v>
      </c>
      <c r="K141" s="125">
        <f>SUM(U141:X141)</f>
        <v>2</v>
      </c>
      <c r="L141" s="46">
        <v>0</v>
      </c>
      <c r="M141" s="125">
        <f>SUM(E141:L141)</f>
        <v>52.23762846114728</v>
      </c>
      <c r="N141" s="47"/>
      <c r="O141" s="141">
        <v>20</v>
      </c>
      <c r="P141" s="141"/>
      <c r="Q141" s="133"/>
      <c r="R141" s="141">
        <v>20.237628461147285</v>
      </c>
      <c r="S141" s="141"/>
      <c r="T141" s="133"/>
      <c r="U141" s="134">
        <v>2</v>
      </c>
      <c r="V141" s="146"/>
      <c r="W141" s="146"/>
      <c r="X141" s="141"/>
    </row>
    <row r="142" spans="2:24" ht="12.75" outlineLevel="1">
      <c r="B142" s="170" t="s">
        <v>200</v>
      </c>
      <c r="C142" s="170"/>
      <c r="D142" s="170"/>
      <c r="E142" s="45">
        <v>0</v>
      </c>
      <c r="F142" s="45">
        <v>747651.9981837171</v>
      </c>
      <c r="G142" s="46">
        <v>0</v>
      </c>
      <c r="H142" s="125">
        <f>O142+P142</f>
        <v>887205</v>
      </c>
      <c r="I142" s="125">
        <f>R142+S142</f>
        <v>752748.9059134944</v>
      </c>
      <c r="J142" s="45">
        <v>0</v>
      </c>
      <c r="K142" s="125">
        <f>SUM(U142:X142)</f>
        <v>262176.2428219853</v>
      </c>
      <c r="L142" s="46">
        <v>0</v>
      </c>
      <c r="M142" s="125">
        <f>SUM(E142:L142)</f>
        <v>2649782.146919197</v>
      </c>
      <c r="N142" s="47"/>
      <c r="O142" s="141">
        <v>887205</v>
      </c>
      <c r="P142" s="141"/>
      <c r="Q142" s="133"/>
      <c r="R142" s="141">
        <v>752748.9059134944</v>
      </c>
      <c r="S142" s="141"/>
      <c r="T142" s="133"/>
      <c r="U142" s="134">
        <v>262176.2428219853</v>
      </c>
      <c r="V142" s="146"/>
      <c r="W142" s="146"/>
      <c r="X142" s="141"/>
    </row>
    <row r="143" spans="2:24" ht="12.75" outlineLevel="1">
      <c r="B143" s="170" t="s">
        <v>201</v>
      </c>
      <c r="C143" s="170"/>
      <c r="D143" s="170"/>
      <c r="E143" s="45">
        <v>0</v>
      </c>
      <c r="F143" s="45">
        <v>7967055.262407483</v>
      </c>
      <c r="G143" s="46">
        <v>0</v>
      </c>
      <c r="H143" s="125">
        <f>O143+P143</f>
        <v>7488084</v>
      </c>
      <c r="I143" s="125">
        <f>R143+S143</f>
        <v>7904807.585584848</v>
      </c>
      <c r="J143" s="45">
        <v>0</v>
      </c>
      <c r="K143" s="125">
        <f>SUM(U143:X143)</f>
        <v>2877817.082251082</v>
      </c>
      <c r="L143" s="46">
        <v>0</v>
      </c>
      <c r="M143" s="125">
        <f>SUM(E143:L143)</f>
        <v>26237763.930243414</v>
      </c>
      <c r="N143" s="47"/>
      <c r="O143" s="141">
        <v>7488084</v>
      </c>
      <c r="P143" s="141"/>
      <c r="Q143" s="133"/>
      <c r="R143" s="141">
        <v>7904807.585584848</v>
      </c>
      <c r="S143" s="141"/>
      <c r="T143" s="133"/>
      <c r="U143" s="134">
        <v>2877817.082251082</v>
      </c>
      <c r="V143" s="146"/>
      <c r="W143" s="146"/>
      <c r="X143" s="141"/>
    </row>
    <row r="144" spans="2:24" ht="12.75" outlineLevel="1">
      <c r="B144" s="170" t="s">
        <v>203</v>
      </c>
      <c r="C144" s="170"/>
      <c r="D144" s="170"/>
      <c r="E144" s="45">
        <v>0</v>
      </c>
      <c r="F144" s="45">
        <v>0</v>
      </c>
      <c r="G144" s="46">
        <v>0</v>
      </c>
      <c r="H144" s="125">
        <f>O144+P144</f>
        <v>68527627</v>
      </c>
      <c r="I144" s="125">
        <f>R144+S144</f>
        <v>0</v>
      </c>
      <c r="J144" s="45">
        <v>0</v>
      </c>
      <c r="K144" s="125">
        <f>SUM(U144:X144)</f>
        <v>0</v>
      </c>
      <c r="L144" s="46">
        <v>0</v>
      </c>
      <c r="M144" s="125">
        <f>SUM(E144:L144)</f>
        <v>68527627</v>
      </c>
      <c r="N144" s="47"/>
      <c r="O144" s="141">
        <v>68527627</v>
      </c>
      <c r="P144" s="141"/>
      <c r="Q144" s="133"/>
      <c r="R144" s="141">
        <v>0</v>
      </c>
      <c r="S144" s="141"/>
      <c r="T144" s="133"/>
      <c r="U144" s="134">
        <v>0</v>
      </c>
      <c r="V144" s="146"/>
      <c r="W144" s="146"/>
      <c r="X144" s="141"/>
    </row>
    <row r="145" spans="2:24" ht="12.75" outlineLevel="1">
      <c r="B145" s="170" t="s">
        <v>247</v>
      </c>
      <c r="C145" s="170"/>
      <c r="D145" s="170"/>
      <c r="E145" s="48"/>
      <c r="F145" s="48"/>
      <c r="G145" s="49"/>
      <c r="H145" s="47"/>
      <c r="I145" s="47"/>
      <c r="J145" s="48"/>
      <c r="K145" s="47"/>
      <c r="L145" s="49"/>
      <c r="M145" s="47"/>
      <c r="N145" s="47"/>
      <c r="O145" s="142"/>
      <c r="P145" s="142"/>
      <c r="Q145" s="133"/>
      <c r="R145" s="142"/>
      <c r="S145" s="142"/>
      <c r="T145" s="133"/>
      <c r="U145" s="135"/>
      <c r="V145" s="142"/>
      <c r="W145" s="142"/>
      <c r="X145" s="142"/>
    </row>
    <row r="146" spans="2:24" ht="12.75" outlineLevel="1">
      <c r="B146" s="172" t="s">
        <v>204</v>
      </c>
      <c r="C146" s="170"/>
      <c r="D146" s="170"/>
      <c r="E146" s="48"/>
      <c r="F146" s="48"/>
      <c r="G146" s="49"/>
      <c r="H146" s="47"/>
      <c r="I146" s="47"/>
      <c r="J146" s="48"/>
      <c r="K146" s="47"/>
      <c r="L146" s="49"/>
      <c r="M146" s="47"/>
      <c r="N146" s="47"/>
      <c r="O146" s="142"/>
      <c r="P146" s="142"/>
      <c r="Q146" s="133"/>
      <c r="R146" s="142"/>
      <c r="S146" s="142"/>
      <c r="T146" s="133"/>
      <c r="U146" s="135"/>
      <c r="V146" s="142"/>
      <c r="W146" s="142"/>
      <c r="X146" s="142"/>
    </row>
    <row r="147" spans="2:24" ht="12.75" outlineLevel="1">
      <c r="B147" s="170" t="s">
        <v>199</v>
      </c>
      <c r="C147" s="170"/>
      <c r="D147" s="170"/>
      <c r="E147" s="50">
        <v>0</v>
      </c>
      <c r="F147" s="50">
        <v>0</v>
      </c>
      <c r="G147" s="46">
        <v>0</v>
      </c>
      <c r="H147" s="125">
        <f>O147+P147</f>
        <v>23</v>
      </c>
      <c r="I147" s="125">
        <f>R147+S147</f>
        <v>12</v>
      </c>
      <c r="J147" s="50">
        <v>0</v>
      </c>
      <c r="K147" s="125">
        <f>SUM(U147:X147)</f>
        <v>4</v>
      </c>
      <c r="L147" s="46">
        <v>0</v>
      </c>
      <c r="M147" s="125">
        <f>SUM(E147:L147)</f>
        <v>39</v>
      </c>
      <c r="N147" s="47"/>
      <c r="O147" s="143">
        <v>23</v>
      </c>
      <c r="P147" s="143"/>
      <c r="Q147" s="133"/>
      <c r="R147" s="143">
        <v>12</v>
      </c>
      <c r="S147" s="143"/>
      <c r="T147" s="133"/>
      <c r="U147" s="134">
        <v>4</v>
      </c>
      <c r="V147" s="147"/>
      <c r="W147" s="147"/>
      <c r="X147" s="143"/>
    </row>
    <row r="148" spans="2:24" ht="12.75" outlineLevel="1">
      <c r="B148" s="170" t="s">
        <v>200</v>
      </c>
      <c r="C148" s="170"/>
      <c r="D148" s="170"/>
      <c r="E148" s="50">
        <v>0</v>
      </c>
      <c r="F148" s="50">
        <v>12652</v>
      </c>
      <c r="G148" s="46">
        <v>0</v>
      </c>
      <c r="H148" s="125">
        <f>O148+P148</f>
        <v>217408</v>
      </c>
      <c r="I148" s="125">
        <f>R148+S148</f>
        <v>75310.91666666666</v>
      </c>
      <c r="J148" s="50">
        <v>0</v>
      </c>
      <c r="K148" s="125">
        <f>SUM(U148:X148)</f>
        <v>21228.168852491184</v>
      </c>
      <c r="L148" s="46">
        <v>0</v>
      </c>
      <c r="M148" s="125">
        <f>SUM(E148:L148)</f>
        <v>326599.0855191578</v>
      </c>
      <c r="N148" s="47"/>
      <c r="O148" s="143">
        <v>217408</v>
      </c>
      <c r="P148" s="143"/>
      <c r="Q148" s="133"/>
      <c r="R148" s="143">
        <v>75310.91666666666</v>
      </c>
      <c r="S148" s="143"/>
      <c r="T148" s="133"/>
      <c r="U148" s="134">
        <v>21228.168852491184</v>
      </c>
      <c r="V148" s="147"/>
      <c r="W148" s="147"/>
      <c r="X148" s="143"/>
    </row>
    <row r="149" spans="2:24" ht="12.75" outlineLevel="1">
      <c r="B149" s="170" t="s">
        <v>205</v>
      </c>
      <c r="C149" s="170"/>
      <c r="D149" s="170"/>
      <c r="E149" s="50">
        <v>0</v>
      </c>
      <c r="F149" s="50">
        <v>151340</v>
      </c>
      <c r="G149" s="46">
        <v>0</v>
      </c>
      <c r="H149" s="125">
        <f>O149+P149</f>
        <v>2264640</v>
      </c>
      <c r="I149" s="125">
        <f>R149+S149</f>
        <v>1284087.9166666667</v>
      </c>
      <c r="J149" s="50">
        <v>0</v>
      </c>
      <c r="K149" s="125">
        <f>SUM(U149:X149)</f>
        <v>176227.97137621106</v>
      </c>
      <c r="L149" s="46">
        <v>0</v>
      </c>
      <c r="M149" s="125">
        <f>SUM(E149:L149)</f>
        <v>3876295.888042878</v>
      </c>
      <c r="N149" s="47"/>
      <c r="O149" s="143">
        <v>2264640</v>
      </c>
      <c r="P149" s="143"/>
      <c r="Q149" s="133"/>
      <c r="R149" s="143">
        <v>1284087.9166666667</v>
      </c>
      <c r="S149" s="143"/>
      <c r="T149" s="133"/>
      <c r="U149" s="134">
        <v>176227.97137621106</v>
      </c>
      <c r="V149" s="147"/>
      <c r="W149" s="147"/>
      <c r="X149" s="143"/>
    </row>
    <row r="150" spans="2:24" ht="12.75" outlineLevel="1">
      <c r="B150" s="170" t="s">
        <v>203</v>
      </c>
      <c r="C150" s="170"/>
      <c r="D150" s="170"/>
      <c r="E150" s="50">
        <v>0</v>
      </c>
      <c r="F150" s="50">
        <v>0</v>
      </c>
      <c r="G150" s="46">
        <v>0</v>
      </c>
      <c r="H150" s="125">
        <f>O150+P150</f>
        <v>22701443</v>
      </c>
      <c r="I150" s="125">
        <f>R150+S150</f>
        <v>0</v>
      </c>
      <c r="J150" s="50">
        <v>0</v>
      </c>
      <c r="K150" s="125">
        <f>SUM(U150:X150)</f>
        <v>1967888.1889763777</v>
      </c>
      <c r="L150" s="46">
        <v>0</v>
      </c>
      <c r="M150" s="125">
        <f>SUM(E150:L150)</f>
        <v>24669331.188976377</v>
      </c>
      <c r="N150" s="47"/>
      <c r="O150" s="143">
        <v>22701443</v>
      </c>
      <c r="P150" s="143"/>
      <c r="Q150" s="133"/>
      <c r="R150" s="143">
        <v>0</v>
      </c>
      <c r="S150" s="143"/>
      <c r="T150" s="133"/>
      <c r="U150" s="134">
        <v>1967888.1889763777</v>
      </c>
      <c r="V150" s="147"/>
      <c r="W150" s="147"/>
      <c r="X150" s="143"/>
    </row>
    <row r="151" spans="2:24" ht="12.75" outlineLevel="1">
      <c r="B151" s="170" t="s">
        <v>247</v>
      </c>
      <c r="C151" s="170"/>
      <c r="D151" s="170"/>
      <c r="E151" s="48"/>
      <c r="F151" s="48"/>
      <c r="G151" s="49"/>
      <c r="H151" s="47"/>
      <c r="I151" s="47"/>
      <c r="J151" s="48"/>
      <c r="K151" s="47"/>
      <c r="L151" s="49"/>
      <c r="M151" s="47"/>
      <c r="N151" s="47"/>
      <c r="O151" s="142"/>
      <c r="P151" s="142"/>
      <c r="Q151" s="133"/>
      <c r="R151" s="142"/>
      <c r="S151" s="142"/>
      <c r="T151" s="133"/>
      <c r="U151" s="135"/>
      <c r="V151" s="142"/>
      <c r="W151" s="142"/>
      <c r="X151" s="142"/>
    </row>
    <row r="152" spans="2:24" ht="12.75" outlineLevel="1">
      <c r="B152" s="172" t="s">
        <v>206</v>
      </c>
      <c r="C152" s="170"/>
      <c r="D152" s="170"/>
      <c r="E152" s="48"/>
      <c r="F152" s="48"/>
      <c r="G152" s="49"/>
      <c r="H152" s="47"/>
      <c r="I152" s="47"/>
      <c r="J152" s="48"/>
      <c r="K152" s="47"/>
      <c r="L152" s="49"/>
      <c r="M152" s="47"/>
      <c r="N152" s="47"/>
      <c r="O152" s="142"/>
      <c r="P152" s="142"/>
      <c r="Q152" s="133"/>
      <c r="R152" s="142"/>
      <c r="S152" s="142"/>
      <c r="T152" s="133"/>
      <c r="U152" s="135"/>
      <c r="V152" s="142"/>
      <c r="W152" s="142"/>
      <c r="X152" s="142"/>
    </row>
    <row r="153" spans="2:24" ht="12.75" outlineLevel="1">
      <c r="B153" s="170" t="s">
        <v>199</v>
      </c>
      <c r="C153" s="170"/>
      <c r="D153" s="170"/>
      <c r="E153" s="50">
        <v>0</v>
      </c>
      <c r="F153" s="50">
        <v>0</v>
      </c>
      <c r="G153" s="46">
        <v>0</v>
      </c>
      <c r="H153" s="125">
        <f>O153+P153</f>
        <v>0</v>
      </c>
      <c r="I153" s="125">
        <f>R153+S153</f>
        <v>9.582345449728557</v>
      </c>
      <c r="J153" s="50">
        <v>0</v>
      </c>
      <c r="K153" s="125">
        <f>SUM(U153:X153)</f>
        <v>63.151442028985514</v>
      </c>
      <c r="L153" s="46">
        <v>0</v>
      </c>
      <c r="M153" s="125">
        <f>SUM(E153:L153)</f>
        <v>72.73378747871408</v>
      </c>
      <c r="N153" s="47"/>
      <c r="O153" s="143">
        <v>0</v>
      </c>
      <c r="P153" s="143"/>
      <c r="Q153" s="133"/>
      <c r="R153" s="143">
        <v>9.582345449728557</v>
      </c>
      <c r="S153" s="143"/>
      <c r="T153" s="133"/>
      <c r="U153" s="134">
        <v>62.151442028985514</v>
      </c>
      <c r="V153" s="147"/>
      <c r="W153" s="147"/>
      <c r="X153" s="143">
        <v>1</v>
      </c>
    </row>
    <row r="154" spans="2:24" ht="12.75" outlineLevel="1">
      <c r="B154" s="170" t="s">
        <v>200</v>
      </c>
      <c r="C154" s="170"/>
      <c r="D154" s="170"/>
      <c r="E154" s="50">
        <v>0</v>
      </c>
      <c r="F154" s="50">
        <v>0</v>
      </c>
      <c r="G154" s="46">
        <v>0</v>
      </c>
      <c r="H154" s="125">
        <f>O154+P154</f>
        <v>0</v>
      </c>
      <c r="I154" s="125">
        <f>R154+S154</f>
        <v>55045.01362257652</v>
      </c>
      <c r="J154" s="50">
        <v>0</v>
      </c>
      <c r="K154" s="125">
        <f>SUM(U154:X154)</f>
        <v>629418.5406178491</v>
      </c>
      <c r="L154" s="46">
        <v>0</v>
      </c>
      <c r="M154" s="125">
        <f>SUM(E154:L154)</f>
        <v>684463.5542404256</v>
      </c>
      <c r="N154" s="47"/>
      <c r="O154" s="143">
        <v>0</v>
      </c>
      <c r="P154" s="143"/>
      <c r="Q154" s="133"/>
      <c r="R154" s="143">
        <v>55045.01362257652</v>
      </c>
      <c r="S154" s="143"/>
      <c r="T154" s="133"/>
      <c r="U154" s="134">
        <v>624018.5406178491</v>
      </c>
      <c r="V154" s="147"/>
      <c r="W154" s="147"/>
      <c r="X154" s="143">
        <v>5400</v>
      </c>
    </row>
    <row r="155" spans="2:24" ht="12.75" outlineLevel="1">
      <c r="B155" s="170" t="s">
        <v>201</v>
      </c>
      <c r="C155" s="170"/>
      <c r="D155" s="170"/>
      <c r="E155" s="50">
        <v>0</v>
      </c>
      <c r="F155" s="50">
        <v>0</v>
      </c>
      <c r="G155" s="46">
        <v>0</v>
      </c>
      <c r="H155" s="125">
        <f>O155+P155</f>
        <v>0</v>
      </c>
      <c r="I155" s="125">
        <f>R155+S155</f>
        <v>524252.5539609521</v>
      </c>
      <c r="J155" s="50">
        <v>0</v>
      </c>
      <c r="K155" s="125">
        <f>SUM(U155:X155)</f>
        <v>5337677.4503225805</v>
      </c>
      <c r="L155" s="46">
        <v>0</v>
      </c>
      <c r="M155" s="125">
        <f>SUM(E155:L155)</f>
        <v>5861930.0042835325</v>
      </c>
      <c r="N155" s="47"/>
      <c r="O155" s="143">
        <v>0</v>
      </c>
      <c r="P155" s="143"/>
      <c r="Q155" s="133"/>
      <c r="R155" s="143">
        <v>524252.5539609521</v>
      </c>
      <c r="S155" s="143"/>
      <c r="T155" s="133"/>
      <c r="U155" s="134">
        <v>5291493.4503225805</v>
      </c>
      <c r="V155" s="147"/>
      <c r="W155" s="147"/>
      <c r="X155" s="143">
        <v>46184</v>
      </c>
    </row>
    <row r="156" spans="2:24" ht="12.75" outlineLevel="1">
      <c r="B156" s="170" t="s">
        <v>203</v>
      </c>
      <c r="C156" s="170"/>
      <c r="D156" s="170"/>
      <c r="E156" s="50">
        <v>0</v>
      </c>
      <c r="F156" s="50">
        <v>0</v>
      </c>
      <c r="G156" s="46">
        <v>0</v>
      </c>
      <c r="H156" s="125">
        <f>O156+P156</f>
        <v>0</v>
      </c>
      <c r="I156" s="125">
        <f>R156+S156</f>
        <v>0</v>
      </c>
      <c r="J156" s="50">
        <v>0</v>
      </c>
      <c r="K156" s="125">
        <f>SUM(U156:X156)</f>
        <v>75450590.5511811</v>
      </c>
      <c r="L156" s="46">
        <v>0</v>
      </c>
      <c r="M156" s="125">
        <f>SUM(E156:L156)</f>
        <v>75450590.5511811</v>
      </c>
      <c r="N156" s="47"/>
      <c r="O156" s="143">
        <v>0</v>
      </c>
      <c r="P156" s="143"/>
      <c r="Q156" s="133"/>
      <c r="R156" s="143">
        <v>0</v>
      </c>
      <c r="S156" s="143"/>
      <c r="T156" s="133"/>
      <c r="U156" s="134">
        <v>75450590.5511811</v>
      </c>
      <c r="V156" s="147"/>
      <c r="W156" s="147"/>
      <c r="X156" s="143">
        <v>0</v>
      </c>
    </row>
    <row r="157" spans="2:24" ht="12.75" outlineLevel="1">
      <c r="B157" s="170" t="s">
        <v>247</v>
      </c>
      <c r="C157" s="170"/>
      <c r="D157" s="170"/>
      <c r="E157" s="48"/>
      <c r="F157" s="48"/>
      <c r="G157" s="49"/>
      <c r="H157" s="47"/>
      <c r="I157" s="47"/>
      <c r="J157" s="48"/>
      <c r="K157" s="47"/>
      <c r="L157" s="49"/>
      <c r="M157" s="47"/>
      <c r="N157" s="47"/>
      <c r="O157" s="142"/>
      <c r="P157" s="142"/>
      <c r="Q157" s="133"/>
      <c r="R157" s="142"/>
      <c r="S157" s="142"/>
      <c r="T157" s="133"/>
      <c r="U157" s="135"/>
      <c r="V157" s="142"/>
      <c r="W157" s="142"/>
      <c r="X157" s="142"/>
    </row>
    <row r="158" spans="2:24" ht="12.75" outlineLevel="1">
      <c r="B158" s="172" t="s">
        <v>207</v>
      </c>
      <c r="C158" s="170"/>
      <c r="D158" s="170"/>
      <c r="E158" s="48"/>
      <c r="F158" s="48"/>
      <c r="G158" s="49"/>
      <c r="H158" s="47"/>
      <c r="I158" s="47"/>
      <c r="J158" s="48"/>
      <c r="K158" s="47"/>
      <c r="L158" s="49"/>
      <c r="M158" s="47"/>
      <c r="N158" s="47"/>
      <c r="O158" s="142"/>
      <c r="P158" s="142"/>
      <c r="Q158" s="133"/>
      <c r="R158" s="142"/>
      <c r="S158" s="142"/>
      <c r="T158" s="133"/>
      <c r="U158" s="135"/>
      <c r="V158" s="142"/>
      <c r="W158" s="142"/>
      <c r="X158" s="142"/>
    </row>
    <row r="159" spans="2:24" ht="12.75" outlineLevel="1">
      <c r="B159" s="170" t="s">
        <v>199</v>
      </c>
      <c r="C159" s="170"/>
      <c r="D159" s="170"/>
      <c r="E159" s="50">
        <v>0</v>
      </c>
      <c r="F159" s="50">
        <v>0</v>
      </c>
      <c r="G159" s="46">
        <v>0</v>
      </c>
      <c r="H159" s="125">
        <f>O159+P159</f>
        <v>0</v>
      </c>
      <c r="I159" s="125">
        <f>R159+S159</f>
        <v>9</v>
      </c>
      <c r="J159" s="50">
        <v>0</v>
      </c>
      <c r="K159" s="125">
        <f>SUM(U159:X159)</f>
        <v>8.908333333333333</v>
      </c>
      <c r="L159" s="46">
        <v>0</v>
      </c>
      <c r="M159" s="125">
        <f>SUM(E159:L159)</f>
        <v>17.90833333333333</v>
      </c>
      <c r="N159" s="47"/>
      <c r="O159" s="143">
        <v>0</v>
      </c>
      <c r="P159" s="143"/>
      <c r="Q159" s="133"/>
      <c r="R159" s="143">
        <v>9</v>
      </c>
      <c r="S159" s="143"/>
      <c r="T159" s="133"/>
      <c r="U159" s="134">
        <v>8.908333333333333</v>
      </c>
      <c r="V159" s="147"/>
      <c r="W159" s="147"/>
      <c r="X159" s="143"/>
    </row>
    <row r="160" spans="2:24" ht="12.75" outlineLevel="1">
      <c r="B160" s="170" t="s">
        <v>200</v>
      </c>
      <c r="C160" s="170"/>
      <c r="D160" s="170"/>
      <c r="E160" s="50">
        <v>0</v>
      </c>
      <c r="F160" s="50">
        <v>0</v>
      </c>
      <c r="G160" s="46">
        <v>0</v>
      </c>
      <c r="H160" s="125">
        <f>O160+P160</f>
        <v>0</v>
      </c>
      <c r="I160" s="125">
        <f>R160+S160</f>
        <v>45843.08333333333</v>
      </c>
      <c r="J160" s="50">
        <v>0</v>
      </c>
      <c r="K160" s="125">
        <f>SUM(U160:X160)</f>
        <v>228306.76201373</v>
      </c>
      <c r="L160" s="46">
        <v>0</v>
      </c>
      <c r="M160" s="125">
        <f>SUM(E160:L160)</f>
        <v>274149.8453470633</v>
      </c>
      <c r="N160" s="47"/>
      <c r="O160" s="143">
        <v>0</v>
      </c>
      <c r="P160" s="143"/>
      <c r="Q160" s="133"/>
      <c r="R160" s="143">
        <v>45843.08333333333</v>
      </c>
      <c r="S160" s="143"/>
      <c r="T160" s="133"/>
      <c r="U160" s="134">
        <v>228306.76201373</v>
      </c>
      <c r="V160" s="147"/>
      <c r="W160" s="147"/>
      <c r="X160" s="143"/>
    </row>
    <row r="161" spans="2:24" ht="12.75" outlineLevel="1">
      <c r="B161" s="170" t="s">
        <v>205</v>
      </c>
      <c r="C161" s="170"/>
      <c r="D161" s="170"/>
      <c r="E161" s="50">
        <v>0</v>
      </c>
      <c r="F161" s="50">
        <v>0</v>
      </c>
      <c r="G161" s="46">
        <v>0</v>
      </c>
      <c r="H161" s="125">
        <f>O161+P161</f>
        <v>0</v>
      </c>
      <c r="I161" s="125">
        <f>R161+S161</f>
        <v>689377.3174603175</v>
      </c>
      <c r="J161" s="50">
        <v>0</v>
      </c>
      <c r="K161" s="125">
        <f>SUM(U161:X161)</f>
        <v>1805242.9629629632</v>
      </c>
      <c r="L161" s="46">
        <v>0</v>
      </c>
      <c r="M161" s="125">
        <f>SUM(E161:L161)</f>
        <v>2494620.280423281</v>
      </c>
      <c r="N161" s="47"/>
      <c r="O161" s="143">
        <v>0</v>
      </c>
      <c r="P161" s="143"/>
      <c r="Q161" s="133"/>
      <c r="R161" s="143">
        <v>689377.3174603175</v>
      </c>
      <c r="S161" s="143"/>
      <c r="T161" s="133"/>
      <c r="U161" s="134">
        <v>1805242.9629629632</v>
      </c>
      <c r="V161" s="147"/>
      <c r="W161" s="147"/>
      <c r="X161" s="143"/>
    </row>
    <row r="162" spans="2:24" ht="12.75" outlineLevel="1">
      <c r="B162" s="170" t="s">
        <v>203</v>
      </c>
      <c r="C162" s="170"/>
      <c r="D162" s="170"/>
      <c r="E162" s="50">
        <v>0</v>
      </c>
      <c r="F162" s="50">
        <v>0</v>
      </c>
      <c r="G162" s="46">
        <v>0</v>
      </c>
      <c r="H162" s="125">
        <f>O162+P162</f>
        <v>0</v>
      </c>
      <c r="I162" s="125">
        <f>R162+S162</f>
        <v>0</v>
      </c>
      <c r="J162" s="50">
        <v>0</v>
      </c>
      <c r="K162" s="125">
        <f>SUM(U162:X162)</f>
        <v>16943001.574803147</v>
      </c>
      <c r="L162" s="46">
        <v>0</v>
      </c>
      <c r="M162" s="125">
        <f>SUM(E162:L162)</f>
        <v>16943001.574803147</v>
      </c>
      <c r="N162" s="47"/>
      <c r="O162" s="143">
        <v>0</v>
      </c>
      <c r="P162" s="143"/>
      <c r="Q162" s="133"/>
      <c r="R162" s="143">
        <v>0</v>
      </c>
      <c r="S162" s="143"/>
      <c r="T162" s="133"/>
      <c r="U162" s="134">
        <v>16943001.574803147</v>
      </c>
      <c r="V162" s="147"/>
      <c r="W162" s="147"/>
      <c r="X162" s="143"/>
    </row>
    <row r="163" spans="2:24" ht="12.75" outlineLevel="1">
      <c r="B163" s="170" t="s">
        <v>247</v>
      </c>
      <c r="C163" s="170"/>
      <c r="D163" s="170"/>
      <c r="E163" s="51"/>
      <c r="F163" s="51"/>
      <c r="G163" s="49"/>
      <c r="H163" s="47"/>
      <c r="I163" s="47"/>
      <c r="J163" s="51"/>
      <c r="K163" s="47"/>
      <c r="L163" s="49"/>
      <c r="M163" s="47"/>
      <c r="N163" s="47"/>
      <c r="O163" s="144"/>
      <c r="P163" s="144"/>
      <c r="Q163" s="133"/>
      <c r="R163" s="144"/>
      <c r="S163" s="144"/>
      <c r="T163" s="133"/>
      <c r="U163" s="135"/>
      <c r="V163" s="144"/>
      <c r="W163" s="144"/>
      <c r="X163" s="144"/>
    </row>
    <row r="164" spans="2:24" ht="12.75" outlineLevel="1">
      <c r="B164" s="172" t="s">
        <v>208</v>
      </c>
      <c r="C164" s="170"/>
      <c r="D164" s="170"/>
      <c r="E164" s="48"/>
      <c r="F164" s="48"/>
      <c r="G164" s="49"/>
      <c r="H164" s="47"/>
      <c r="I164" s="47"/>
      <c r="J164" s="48"/>
      <c r="K164" s="47"/>
      <c r="L164" s="49"/>
      <c r="M164" s="47"/>
      <c r="N164" s="47"/>
      <c r="O164" s="142"/>
      <c r="P164" s="142"/>
      <c r="Q164" s="133"/>
      <c r="R164" s="142"/>
      <c r="S164" s="142"/>
      <c r="T164" s="133"/>
      <c r="U164" s="135"/>
      <c r="V164" s="142"/>
      <c r="W164" s="142"/>
      <c r="X164" s="142"/>
    </row>
    <row r="165" spans="2:24" ht="12.75" outlineLevel="1">
      <c r="B165" s="170" t="s">
        <v>199</v>
      </c>
      <c r="C165" s="170"/>
      <c r="D165" s="170"/>
      <c r="E165" s="50">
        <v>0</v>
      </c>
      <c r="F165" s="50">
        <v>30.33333333333333</v>
      </c>
      <c r="G165" s="46">
        <v>0.6849490333967451</v>
      </c>
      <c r="H165" s="125">
        <f>O165+P165</f>
        <v>185</v>
      </c>
      <c r="I165" s="125">
        <f>R165+S165</f>
        <v>276.54653387697823</v>
      </c>
      <c r="J165" s="50">
        <v>0</v>
      </c>
      <c r="K165" s="125">
        <f>SUM(U165:X165)</f>
        <v>87.47554347826087</v>
      </c>
      <c r="L165" s="46">
        <v>1</v>
      </c>
      <c r="M165" s="125">
        <f>SUM(E165:L165)</f>
        <v>581.0403597219691</v>
      </c>
      <c r="N165" s="47"/>
      <c r="O165" s="143">
        <v>179</v>
      </c>
      <c r="P165" s="143">
        <v>6</v>
      </c>
      <c r="Q165" s="133"/>
      <c r="R165" s="143">
        <v>276.54653387697823</v>
      </c>
      <c r="S165" s="143"/>
      <c r="T165" s="133"/>
      <c r="U165" s="134">
        <v>86.47554347826087</v>
      </c>
      <c r="V165" s="147"/>
      <c r="W165" s="147"/>
      <c r="X165" s="143">
        <v>1</v>
      </c>
    </row>
    <row r="166" spans="2:24" ht="12.75" outlineLevel="1">
      <c r="B166" s="170" t="s">
        <v>200</v>
      </c>
      <c r="C166" s="170"/>
      <c r="D166" s="170"/>
      <c r="E166" s="50">
        <v>0</v>
      </c>
      <c r="F166" s="50">
        <v>61193.366666666676</v>
      </c>
      <c r="G166" s="46">
        <v>9810.49746691787</v>
      </c>
      <c r="H166" s="125">
        <f>O166+P166</f>
        <v>1459025</v>
      </c>
      <c r="I166" s="125">
        <f>R166+S166</f>
        <v>937451.2692928348</v>
      </c>
      <c r="J166" s="50">
        <v>0</v>
      </c>
      <c r="K166" s="125">
        <f>SUM(U166:X166)</f>
        <v>259283.18716286603</v>
      </c>
      <c r="L166" s="46">
        <v>17656</v>
      </c>
      <c r="M166" s="125">
        <f>SUM(E166:L166)</f>
        <v>2744419.3205892853</v>
      </c>
      <c r="N166" s="47"/>
      <c r="O166" s="143">
        <v>1441018</v>
      </c>
      <c r="P166" s="143">
        <v>18007</v>
      </c>
      <c r="Q166" s="133"/>
      <c r="R166" s="143">
        <v>937451.2692928348</v>
      </c>
      <c r="S166" s="143"/>
      <c r="T166" s="133"/>
      <c r="U166" s="134">
        <v>252791.18716286603</v>
      </c>
      <c r="V166" s="147"/>
      <c r="W166" s="147"/>
      <c r="X166" s="143">
        <v>6492</v>
      </c>
    </row>
    <row r="167" spans="2:24" ht="12.75" outlineLevel="1">
      <c r="B167" s="170" t="s">
        <v>201</v>
      </c>
      <c r="C167" s="170"/>
      <c r="D167" s="170"/>
      <c r="E167" s="50">
        <v>0</v>
      </c>
      <c r="F167" s="50">
        <v>495429.4</v>
      </c>
      <c r="G167" s="46">
        <v>112829.85141218787</v>
      </c>
      <c r="H167" s="125">
        <f>O167+P167</f>
        <v>14712096</v>
      </c>
      <c r="I167" s="125">
        <f>R167+S167</f>
        <v>9074196.871131148</v>
      </c>
      <c r="J167" s="50">
        <v>0</v>
      </c>
      <c r="K167" s="125">
        <f>SUM(U167:X167)</f>
        <v>2991444.506309044</v>
      </c>
      <c r="L167" s="46">
        <v>173852</v>
      </c>
      <c r="M167" s="125">
        <f>SUM(E167:L167)</f>
        <v>27559848.62885238</v>
      </c>
      <c r="N167" s="47"/>
      <c r="O167" s="143">
        <v>14525628</v>
      </c>
      <c r="P167" s="143">
        <v>186468</v>
      </c>
      <c r="Q167" s="133"/>
      <c r="R167" s="143">
        <v>9074196.871131148</v>
      </c>
      <c r="S167" s="143"/>
      <c r="T167" s="133"/>
      <c r="U167" s="134">
        <v>2918378.506309044</v>
      </c>
      <c r="V167" s="147"/>
      <c r="W167" s="147"/>
      <c r="X167" s="143">
        <v>73066</v>
      </c>
    </row>
    <row r="168" spans="2:24" ht="12.75" outlineLevel="1">
      <c r="B168" s="170" t="s">
        <v>203</v>
      </c>
      <c r="C168" s="170"/>
      <c r="D168" s="170"/>
      <c r="E168" s="50">
        <v>0</v>
      </c>
      <c r="F168" s="50">
        <v>0</v>
      </c>
      <c r="G168" s="46">
        <v>0</v>
      </c>
      <c r="H168" s="125">
        <f>O168+P168</f>
        <v>55069755</v>
      </c>
      <c r="I168" s="125">
        <f>R168+S168</f>
        <v>0</v>
      </c>
      <c r="J168" s="50">
        <v>0</v>
      </c>
      <c r="K168" s="125">
        <f>SUM(U168:X168)</f>
        <v>16069700.787401572</v>
      </c>
      <c r="L168" s="46">
        <v>0</v>
      </c>
      <c r="M168" s="125">
        <f>SUM(E168:L168)</f>
        <v>71139455.78740157</v>
      </c>
      <c r="N168" s="47"/>
      <c r="O168" s="143">
        <v>53759139</v>
      </c>
      <c r="P168" s="143">
        <v>1310616</v>
      </c>
      <c r="Q168" s="133"/>
      <c r="R168" s="143">
        <v>0</v>
      </c>
      <c r="S168" s="143"/>
      <c r="T168" s="133"/>
      <c r="U168" s="134">
        <v>16069700.787401572</v>
      </c>
      <c r="V168" s="147"/>
      <c r="W168" s="147"/>
      <c r="X168" s="143">
        <v>0</v>
      </c>
    </row>
    <row r="169" spans="2:24" ht="12.75" outlineLevel="1">
      <c r="B169" s="170" t="s">
        <v>247</v>
      </c>
      <c r="C169" s="170"/>
      <c r="D169" s="170"/>
      <c r="E169" s="48"/>
      <c r="F169" s="48"/>
      <c r="G169" s="49"/>
      <c r="H169" s="47"/>
      <c r="I169" s="47"/>
      <c r="J169" s="48"/>
      <c r="K169" s="47"/>
      <c r="L169" s="49"/>
      <c r="M169" s="47"/>
      <c r="N169" s="47"/>
      <c r="O169" s="142"/>
      <c r="P169" s="142"/>
      <c r="Q169" s="133"/>
      <c r="R169" s="142"/>
      <c r="S169" s="142"/>
      <c r="T169" s="133"/>
      <c r="U169" s="135"/>
      <c r="V169" s="142"/>
      <c r="W169" s="142"/>
      <c r="X169" s="142"/>
    </row>
    <row r="170" spans="2:24" ht="12.75" outlineLevel="1">
      <c r="B170" s="172" t="s">
        <v>209</v>
      </c>
      <c r="C170" s="170"/>
      <c r="D170" s="170"/>
      <c r="E170" s="48"/>
      <c r="F170" s="48"/>
      <c r="G170" s="49"/>
      <c r="H170" s="47"/>
      <c r="I170" s="47"/>
      <c r="J170" s="48"/>
      <c r="K170" s="47"/>
      <c r="L170" s="49"/>
      <c r="M170" s="47"/>
      <c r="N170" s="47"/>
      <c r="O170" s="142"/>
      <c r="P170" s="142"/>
      <c r="Q170" s="133"/>
      <c r="R170" s="142"/>
      <c r="S170" s="142"/>
      <c r="T170" s="133"/>
      <c r="U170" s="135"/>
      <c r="V170" s="142"/>
      <c r="W170" s="142"/>
      <c r="X170" s="142"/>
    </row>
    <row r="171" spans="2:24" ht="12.75" outlineLevel="1">
      <c r="B171" s="170" t="s">
        <v>199</v>
      </c>
      <c r="C171" s="170"/>
      <c r="D171" s="170"/>
      <c r="E171" s="50">
        <v>0</v>
      </c>
      <c r="F171" s="50">
        <v>1</v>
      </c>
      <c r="G171" s="46">
        <v>0</v>
      </c>
      <c r="H171" s="125">
        <f>O171+P171</f>
        <v>14</v>
      </c>
      <c r="I171" s="125">
        <f>R171+S171</f>
        <v>10.833333333333334</v>
      </c>
      <c r="J171" s="50">
        <v>0</v>
      </c>
      <c r="K171" s="125">
        <f>SUM(U171:X171)</f>
        <v>2.725</v>
      </c>
      <c r="L171" s="46">
        <v>0</v>
      </c>
      <c r="M171" s="125">
        <f>SUM(E171:L171)</f>
        <v>28.558333333333337</v>
      </c>
      <c r="N171" s="47"/>
      <c r="O171" s="143">
        <v>14</v>
      </c>
      <c r="P171" s="143"/>
      <c r="Q171" s="133"/>
      <c r="R171" s="143">
        <v>10.833333333333334</v>
      </c>
      <c r="S171" s="143"/>
      <c r="T171" s="133"/>
      <c r="U171" s="134">
        <v>2.725</v>
      </c>
      <c r="V171" s="147"/>
      <c r="W171" s="147"/>
      <c r="X171" s="143"/>
    </row>
    <row r="172" spans="2:24" ht="12.75" outlineLevel="1">
      <c r="B172" s="170" t="s">
        <v>200</v>
      </c>
      <c r="C172" s="170"/>
      <c r="D172" s="170"/>
      <c r="E172" s="50">
        <v>0</v>
      </c>
      <c r="F172" s="50">
        <v>9300</v>
      </c>
      <c r="G172" s="46">
        <v>0</v>
      </c>
      <c r="H172" s="125">
        <f>O172+P172</f>
        <v>89891</v>
      </c>
      <c r="I172" s="125">
        <f>R172+S172</f>
        <v>29965.75</v>
      </c>
      <c r="J172" s="50">
        <v>0</v>
      </c>
      <c r="K172" s="125">
        <f>SUM(U172:X172)</f>
        <v>15976.13736791547</v>
      </c>
      <c r="L172" s="46">
        <v>0</v>
      </c>
      <c r="M172" s="125">
        <f>SUM(E172:L172)</f>
        <v>145132.88736791548</v>
      </c>
      <c r="N172" s="47"/>
      <c r="O172" s="143">
        <v>89891</v>
      </c>
      <c r="P172" s="143"/>
      <c r="Q172" s="133"/>
      <c r="R172" s="143">
        <v>29965.75</v>
      </c>
      <c r="S172" s="143"/>
      <c r="T172" s="133"/>
      <c r="U172" s="134">
        <v>15976.13736791547</v>
      </c>
      <c r="V172" s="147"/>
      <c r="W172" s="147"/>
      <c r="X172" s="143"/>
    </row>
    <row r="173" spans="2:24" ht="12.75" outlineLevel="1">
      <c r="B173" s="170" t="s">
        <v>205</v>
      </c>
      <c r="C173" s="170"/>
      <c r="D173" s="170"/>
      <c r="E173" s="50">
        <v>0</v>
      </c>
      <c r="F173" s="50">
        <v>120364.8</v>
      </c>
      <c r="G173" s="46">
        <v>0</v>
      </c>
      <c r="H173" s="125">
        <f>O173+P173</f>
        <v>1139544</v>
      </c>
      <c r="I173" s="125">
        <f>R173+S173</f>
        <v>504448</v>
      </c>
      <c r="J173" s="50">
        <v>0</v>
      </c>
      <c r="K173" s="125">
        <f>SUM(U173:X173)</f>
        <v>260665.96832579182</v>
      </c>
      <c r="L173" s="46">
        <v>0</v>
      </c>
      <c r="M173" s="125">
        <f>SUM(E173:L173)</f>
        <v>2025022.768325792</v>
      </c>
      <c r="N173" s="47"/>
      <c r="O173" s="143">
        <v>1139544</v>
      </c>
      <c r="P173" s="143"/>
      <c r="Q173" s="133"/>
      <c r="R173" s="143">
        <v>504448</v>
      </c>
      <c r="S173" s="143"/>
      <c r="T173" s="133"/>
      <c r="U173" s="134">
        <v>260665.96832579182</v>
      </c>
      <c r="V173" s="147"/>
      <c r="W173" s="147"/>
      <c r="X173" s="143"/>
    </row>
    <row r="174" spans="2:24" ht="12.75" outlineLevel="1">
      <c r="B174" s="170" t="s">
        <v>203</v>
      </c>
      <c r="C174" s="170"/>
      <c r="D174" s="170"/>
      <c r="E174" s="50">
        <v>0</v>
      </c>
      <c r="F174" s="50">
        <v>0</v>
      </c>
      <c r="G174" s="46">
        <v>0</v>
      </c>
      <c r="H174" s="125">
        <f>O174+P174</f>
        <v>1989823</v>
      </c>
      <c r="I174" s="125">
        <f>R174+S174</f>
        <v>0</v>
      </c>
      <c r="J174" s="50">
        <v>0</v>
      </c>
      <c r="K174" s="125">
        <f>SUM(U174:X174)</f>
        <v>0</v>
      </c>
      <c r="L174" s="46">
        <v>0</v>
      </c>
      <c r="M174" s="125">
        <f>SUM(E174:L174)</f>
        <v>1989823</v>
      </c>
      <c r="N174" s="47"/>
      <c r="O174" s="143">
        <v>1989823</v>
      </c>
      <c r="P174" s="143"/>
      <c r="Q174" s="133"/>
      <c r="R174" s="143">
        <v>0</v>
      </c>
      <c r="S174" s="143"/>
      <c r="T174" s="133"/>
      <c r="U174" s="134">
        <v>0</v>
      </c>
      <c r="V174" s="147"/>
      <c r="W174" s="147"/>
      <c r="X174" s="143"/>
    </row>
    <row r="175" spans="2:24" ht="12.75" outlineLevel="1">
      <c r="B175" s="170" t="s">
        <v>247</v>
      </c>
      <c r="C175" s="170"/>
      <c r="D175" s="170"/>
      <c r="E175" s="51"/>
      <c r="F175" s="51"/>
      <c r="G175" s="49"/>
      <c r="H175" s="47"/>
      <c r="I175" s="47"/>
      <c r="J175" s="51"/>
      <c r="K175" s="47"/>
      <c r="L175" s="49"/>
      <c r="M175" s="47"/>
      <c r="N175" s="47"/>
      <c r="O175" s="144"/>
      <c r="P175" s="144"/>
      <c r="Q175" s="133"/>
      <c r="R175" s="144"/>
      <c r="S175" s="144"/>
      <c r="T175" s="133"/>
      <c r="U175" s="135"/>
      <c r="V175" s="144"/>
      <c r="W175" s="144"/>
      <c r="X175" s="144"/>
    </row>
    <row r="176" spans="2:24" ht="12.75" outlineLevel="1">
      <c r="B176" s="172" t="s">
        <v>210</v>
      </c>
      <c r="C176" s="170"/>
      <c r="D176" s="170"/>
      <c r="E176" s="48"/>
      <c r="F176" s="48"/>
      <c r="G176" s="49"/>
      <c r="H176" s="47"/>
      <c r="I176" s="47"/>
      <c r="J176" s="48"/>
      <c r="K176" s="47"/>
      <c r="L176" s="49"/>
      <c r="M176" s="47"/>
      <c r="N176" s="47"/>
      <c r="O176" s="142"/>
      <c r="P176" s="142"/>
      <c r="Q176" s="133"/>
      <c r="R176" s="142"/>
      <c r="S176" s="142"/>
      <c r="T176" s="133"/>
      <c r="U176" s="135"/>
      <c r="V176" s="142"/>
      <c r="W176" s="142"/>
      <c r="X176" s="142"/>
    </row>
    <row r="177" spans="2:24" ht="12.75" outlineLevel="1">
      <c r="B177" s="170" t="s">
        <v>199</v>
      </c>
      <c r="C177" s="170"/>
      <c r="D177" s="170"/>
      <c r="E177" s="45">
        <v>0</v>
      </c>
      <c r="F177" s="52">
        <v>0</v>
      </c>
      <c r="G177" s="46">
        <v>4.024075571205877</v>
      </c>
      <c r="H177" s="125">
        <f>O177+P177</f>
        <v>254</v>
      </c>
      <c r="I177" s="125">
        <f>R177+S177</f>
        <v>0</v>
      </c>
      <c r="J177" s="45">
        <v>1</v>
      </c>
      <c r="K177" s="125">
        <f>SUM(U177:X177)</f>
        <v>0</v>
      </c>
      <c r="L177" s="46">
        <v>0</v>
      </c>
      <c r="M177" s="125">
        <f>SUM(E177:L177)</f>
        <v>259.02407557120586</v>
      </c>
      <c r="N177" s="47"/>
      <c r="O177" s="141">
        <v>254</v>
      </c>
      <c r="P177" s="141"/>
      <c r="Q177" s="133"/>
      <c r="R177" s="141">
        <v>0</v>
      </c>
      <c r="S177" s="141"/>
      <c r="T177" s="133"/>
      <c r="U177" s="134">
        <v>0</v>
      </c>
      <c r="V177" s="146"/>
      <c r="W177" s="146"/>
      <c r="X177" s="141"/>
    </row>
    <row r="178" spans="2:24" ht="12.75" outlineLevel="1">
      <c r="B178" s="170" t="s">
        <v>211</v>
      </c>
      <c r="C178" s="170"/>
      <c r="D178" s="170"/>
      <c r="E178" s="45">
        <v>0</v>
      </c>
      <c r="F178" s="52">
        <v>0</v>
      </c>
      <c r="G178" s="46">
        <v>24375.988464708644</v>
      </c>
      <c r="H178" s="125">
        <f>O178+P178</f>
        <v>721057</v>
      </c>
      <c r="I178" s="125">
        <f>R178+S178</f>
        <v>0</v>
      </c>
      <c r="J178" s="45">
        <v>6381</v>
      </c>
      <c r="K178" s="125">
        <f>SUM(U178:X178)</f>
        <v>0</v>
      </c>
      <c r="L178" s="46">
        <v>0</v>
      </c>
      <c r="M178" s="125">
        <f>SUM(E178:L178)</f>
        <v>751813.9884647087</v>
      </c>
      <c r="N178" s="47"/>
      <c r="O178" s="141">
        <v>721057</v>
      </c>
      <c r="P178" s="141"/>
      <c r="Q178" s="133"/>
      <c r="R178" s="141">
        <v>0</v>
      </c>
      <c r="S178" s="141"/>
      <c r="T178" s="133"/>
      <c r="U178" s="134">
        <v>0</v>
      </c>
      <c r="V178" s="146"/>
      <c r="W178" s="146"/>
      <c r="X178" s="141"/>
    </row>
    <row r="179" spans="2:24" ht="12.75" outlineLevel="1">
      <c r="B179" s="170" t="s">
        <v>201</v>
      </c>
      <c r="C179" s="170"/>
      <c r="D179" s="170"/>
      <c r="E179" s="45">
        <v>0</v>
      </c>
      <c r="F179" s="52">
        <v>0</v>
      </c>
      <c r="G179" s="46">
        <v>260858.54991259388</v>
      </c>
      <c r="H179" s="125">
        <f>O179+P179</f>
        <v>6979152</v>
      </c>
      <c r="I179" s="125">
        <f>R179+S179</f>
        <v>0</v>
      </c>
      <c r="J179" s="45">
        <v>70850</v>
      </c>
      <c r="K179" s="125">
        <f>SUM(U179:X179)</f>
        <v>0</v>
      </c>
      <c r="L179" s="46">
        <v>0</v>
      </c>
      <c r="M179" s="125">
        <f>SUM(E179:L179)</f>
        <v>7310860.549912594</v>
      </c>
      <c r="N179" s="47"/>
      <c r="O179" s="141">
        <v>6979152</v>
      </c>
      <c r="P179" s="141"/>
      <c r="Q179" s="133"/>
      <c r="R179" s="141">
        <v>0</v>
      </c>
      <c r="S179" s="141"/>
      <c r="T179" s="133"/>
      <c r="U179" s="134">
        <v>0</v>
      </c>
      <c r="V179" s="146"/>
      <c r="W179" s="146"/>
      <c r="X179" s="141"/>
    </row>
    <row r="180" spans="2:24" ht="12.75" outlineLevel="1">
      <c r="B180" s="170" t="s">
        <v>202</v>
      </c>
      <c r="C180" s="170"/>
      <c r="D180" s="170"/>
      <c r="E180" s="45">
        <v>0</v>
      </c>
      <c r="F180" s="52">
        <v>0</v>
      </c>
      <c r="G180" s="46">
        <v>103475254.48550111</v>
      </c>
      <c r="H180" s="125">
        <f>O180+P180</f>
        <v>2896490127</v>
      </c>
      <c r="I180" s="125">
        <f>R180+S180</f>
        <v>0</v>
      </c>
      <c r="J180" s="45">
        <v>3726100</v>
      </c>
      <c r="K180" s="125">
        <f>SUM(U180:X180)</f>
        <v>0</v>
      </c>
      <c r="L180" s="46">
        <v>0</v>
      </c>
      <c r="M180" s="125">
        <f>SUM(E180:L180)</f>
        <v>3003691481.4855013</v>
      </c>
      <c r="N180" s="47"/>
      <c r="O180" s="141">
        <v>2896490127</v>
      </c>
      <c r="P180" s="141"/>
      <c r="Q180" s="133"/>
      <c r="R180" s="141">
        <v>0</v>
      </c>
      <c r="S180" s="141"/>
      <c r="T180" s="133"/>
      <c r="U180" s="134">
        <v>0</v>
      </c>
      <c r="V180" s="146"/>
      <c r="W180" s="146"/>
      <c r="X180" s="141"/>
    </row>
    <row r="181" spans="2:24" ht="12.75" outlineLevel="1">
      <c r="B181" s="170" t="s">
        <v>203</v>
      </c>
      <c r="C181" s="170"/>
      <c r="D181" s="170"/>
      <c r="E181" s="45">
        <v>0</v>
      </c>
      <c r="F181" s="52">
        <v>0</v>
      </c>
      <c r="G181" s="46">
        <v>0</v>
      </c>
      <c r="H181" s="125">
        <f>O181+P181</f>
        <v>77244216</v>
      </c>
      <c r="I181" s="125">
        <f>R181+S181</f>
        <v>0</v>
      </c>
      <c r="J181" s="45">
        <v>0</v>
      </c>
      <c r="K181" s="125">
        <f>SUM(U181:X181)</f>
        <v>0</v>
      </c>
      <c r="L181" s="46">
        <v>0</v>
      </c>
      <c r="M181" s="125">
        <f>SUM(E181:L181)</f>
        <v>77244216</v>
      </c>
      <c r="N181" s="47"/>
      <c r="O181" s="141">
        <v>77244216</v>
      </c>
      <c r="P181" s="141"/>
      <c r="Q181" s="133"/>
      <c r="R181" s="141">
        <v>0</v>
      </c>
      <c r="S181" s="141"/>
      <c r="T181" s="133"/>
      <c r="U181" s="134">
        <v>0</v>
      </c>
      <c r="V181" s="146"/>
      <c r="W181" s="146"/>
      <c r="X181" s="141"/>
    </row>
    <row r="182" spans="2:24" ht="12.75" outlineLevel="1">
      <c r="B182" s="170" t="s">
        <v>247</v>
      </c>
      <c r="C182" s="170"/>
      <c r="D182" s="170"/>
      <c r="E182" s="51"/>
      <c r="F182" s="51"/>
      <c r="G182" s="49"/>
      <c r="H182" s="47"/>
      <c r="I182" s="47"/>
      <c r="J182" s="51"/>
      <c r="K182" s="47"/>
      <c r="L182" s="49"/>
      <c r="M182" s="47"/>
      <c r="N182" s="47"/>
      <c r="O182" s="144"/>
      <c r="P182" s="144"/>
      <c r="Q182" s="133"/>
      <c r="R182" s="144"/>
      <c r="S182" s="144"/>
      <c r="T182" s="133"/>
      <c r="U182" s="135"/>
      <c r="V182" s="144"/>
      <c r="W182" s="144"/>
      <c r="X182" s="144"/>
    </row>
    <row r="183" spans="2:24" ht="12.75" outlineLevel="1">
      <c r="B183" s="172" t="s">
        <v>212</v>
      </c>
      <c r="C183" s="170"/>
      <c r="D183" s="170"/>
      <c r="E183" s="48"/>
      <c r="F183" s="48"/>
      <c r="G183" s="49"/>
      <c r="H183" s="47"/>
      <c r="I183" s="47"/>
      <c r="J183" s="48"/>
      <c r="K183" s="47"/>
      <c r="L183" s="49"/>
      <c r="M183" s="47"/>
      <c r="N183" s="47"/>
      <c r="O183" s="142"/>
      <c r="P183" s="142"/>
      <c r="Q183" s="133"/>
      <c r="R183" s="142"/>
      <c r="S183" s="142"/>
      <c r="T183" s="133"/>
      <c r="U183" s="135"/>
      <c r="V183" s="142"/>
      <c r="W183" s="142"/>
      <c r="X183" s="142"/>
    </row>
    <row r="184" spans="2:24" ht="12.75" outlineLevel="1">
      <c r="B184" s="170" t="s">
        <v>199</v>
      </c>
      <c r="C184" s="170"/>
      <c r="D184" s="170"/>
      <c r="E184" s="52">
        <v>31</v>
      </c>
      <c r="F184" s="52">
        <v>320.3333333333333</v>
      </c>
      <c r="G184" s="46">
        <v>589.364232703126</v>
      </c>
      <c r="H184" s="125">
        <f>O184+P184</f>
        <v>8315</v>
      </c>
      <c r="I184" s="125">
        <f>R184+S184</f>
        <v>8399.133479131964</v>
      </c>
      <c r="J184" s="52">
        <v>19</v>
      </c>
      <c r="K184" s="125">
        <f>SUM(U184:X184)</f>
        <v>2708.194058956916</v>
      </c>
      <c r="L184" s="46">
        <v>191.47297052154192</v>
      </c>
      <c r="M184" s="125">
        <f>SUM(E184:L184)</f>
        <v>20573.498074646883</v>
      </c>
      <c r="N184" s="47"/>
      <c r="O184" s="145">
        <v>8201</v>
      </c>
      <c r="P184" s="145">
        <v>114</v>
      </c>
      <c r="Q184" s="133"/>
      <c r="R184" s="145">
        <v>8399.133479131964</v>
      </c>
      <c r="S184" s="145"/>
      <c r="T184" s="133"/>
      <c r="U184" s="134">
        <v>2683.2773922902493</v>
      </c>
      <c r="V184" s="136"/>
      <c r="W184" s="136"/>
      <c r="X184" s="145">
        <v>24.916666666666668</v>
      </c>
    </row>
    <row r="185" spans="2:24" ht="12.75" outlineLevel="1">
      <c r="B185" s="170" t="s">
        <v>211</v>
      </c>
      <c r="C185" s="170"/>
      <c r="D185" s="170"/>
      <c r="E185" s="52">
        <v>28520</v>
      </c>
      <c r="F185" s="52">
        <v>168199.5</v>
      </c>
      <c r="G185" s="46">
        <v>146558.8807141297</v>
      </c>
      <c r="H185" s="125">
        <f>O185+P185</f>
        <v>2761666</v>
      </c>
      <c r="I185" s="125">
        <f>R185+S185</f>
        <v>3024341.1052479683</v>
      </c>
      <c r="J185" s="52">
        <v>21104</v>
      </c>
      <c r="K185" s="125">
        <f>SUM(U185:X185)</f>
        <v>1810311.6938186511</v>
      </c>
      <c r="L185" s="46">
        <v>197945.04157549236</v>
      </c>
      <c r="M185" s="125">
        <f>SUM(E185:L185)</f>
        <v>8158646.221356242</v>
      </c>
      <c r="N185" s="47"/>
      <c r="O185" s="145">
        <v>2710252</v>
      </c>
      <c r="P185" s="145">
        <v>51414</v>
      </c>
      <c r="Q185" s="133"/>
      <c r="R185" s="145">
        <v>3024341.1052479683</v>
      </c>
      <c r="S185" s="145"/>
      <c r="T185" s="133"/>
      <c r="U185" s="134">
        <v>1793046.110485318</v>
      </c>
      <c r="V185" s="136"/>
      <c r="W185" s="136"/>
      <c r="X185" s="145">
        <v>17265.583333333332</v>
      </c>
    </row>
    <row r="186" spans="2:24" ht="12.75" outlineLevel="1">
      <c r="B186" s="170" t="s">
        <v>201</v>
      </c>
      <c r="C186" s="170"/>
      <c r="D186" s="170"/>
      <c r="E186" s="52">
        <v>296004</v>
      </c>
      <c r="F186" s="52">
        <v>1397911</v>
      </c>
      <c r="G186" s="46">
        <v>1155442.166684706</v>
      </c>
      <c r="H186" s="125">
        <f>O186+P186</f>
        <v>25182504</v>
      </c>
      <c r="I186" s="125">
        <f>R186+S186</f>
        <v>26107558.146403782</v>
      </c>
      <c r="J186" s="52">
        <v>210849.01</v>
      </c>
      <c r="K186" s="125">
        <f>SUM(U186:X186)</f>
        <v>13608801.882899925</v>
      </c>
      <c r="L186" s="46">
        <v>1632900.5121517489</v>
      </c>
      <c r="M186" s="125">
        <f>SUM(E186:L186)</f>
        <v>69591970.71814016</v>
      </c>
      <c r="N186" s="47"/>
      <c r="O186" s="145">
        <v>24706860</v>
      </c>
      <c r="P186" s="145">
        <v>475644</v>
      </c>
      <c r="Q186" s="133"/>
      <c r="R186" s="145">
        <v>26107558.146403782</v>
      </c>
      <c r="S186" s="145"/>
      <c r="T186" s="133"/>
      <c r="U186" s="134">
        <v>13510532.882899925</v>
      </c>
      <c r="V186" s="136"/>
      <c r="W186" s="136"/>
      <c r="X186" s="145">
        <v>98269</v>
      </c>
    </row>
    <row r="187" spans="2:24" ht="12.75" outlineLevel="1">
      <c r="B187" s="170" t="s">
        <v>202</v>
      </c>
      <c r="C187" s="170"/>
      <c r="D187" s="170"/>
      <c r="E187" s="52">
        <v>105315479</v>
      </c>
      <c r="F187" s="52">
        <v>450556856</v>
      </c>
      <c r="G187" s="46">
        <v>395109160.24488866</v>
      </c>
      <c r="H187" s="125">
        <f>O187+P187</f>
        <v>7850951424</v>
      </c>
      <c r="I187" s="125">
        <f>R187+S187</f>
        <v>8815158992.169743</v>
      </c>
      <c r="J187" s="52">
        <v>79267934</v>
      </c>
      <c r="K187" s="125">
        <f>SUM(U187:X187)</f>
        <v>4749517595.701022</v>
      </c>
      <c r="L187" s="46">
        <v>432891228.8224956</v>
      </c>
      <c r="M187" s="125">
        <f>SUM(E187:L187)</f>
        <v>22878768669.93815</v>
      </c>
      <c r="N187" s="47"/>
      <c r="O187" s="145">
        <v>7682983516</v>
      </c>
      <c r="P187" s="145">
        <v>167967908</v>
      </c>
      <c r="Q187" s="133"/>
      <c r="R187" s="145">
        <v>8815158992.169743</v>
      </c>
      <c r="S187" s="145"/>
      <c r="T187" s="133"/>
      <c r="U187" s="134">
        <v>4722898137.954543</v>
      </c>
      <c r="V187" s="136"/>
      <c r="W187" s="136"/>
      <c r="X187" s="145">
        <v>26619457.746478874</v>
      </c>
    </row>
    <row r="188" spans="2:24" ht="12.75" outlineLevel="1">
      <c r="B188" s="170" t="s">
        <v>203</v>
      </c>
      <c r="C188" s="170"/>
      <c r="D188" s="170"/>
      <c r="E188" s="52">
        <v>1735403</v>
      </c>
      <c r="F188" s="52">
        <v>0</v>
      </c>
      <c r="G188" s="46">
        <v>7114765.884245165</v>
      </c>
      <c r="H188" s="125">
        <f>O188+P188</f>
        <v>268911902</v>
      </c>
      <c r="I188" s="125">
        <f>R188+S188</f>
        <v>0</v>
      </c>
      <c r="J188" s="52">
        <v>1737134</v>
      </c>
      <c r="K188" s="125">
        <f>SUM(U188:X188)</f>
        <v>98141407.87401572</v>
      </c>
      <c r="L188" s="46">
        <v>0</v>
      </c>
      <c r="M188" s="125">
        <f>SUM(E188:L188)</f>
        <v>377640612.75826085</v>
      </c>
      <c r="N188" s="47"/>
      <c r="O188" s="145">
        <v>264165513</v>
      </c>
      <c r="P188" s="145">
        <v>4746389</v>
      </c>
      <c r="Q188" s="133"/>
      <c r="R188" s="145">
        <v>0</v>
      </c>
      <c r="S188" s="145"/>
      <c r="T188" s="133"/>
      <c r="U188" s="134">
        <v>98141407.87401572</v>
      </c>
      <c r="V188" s="136"/>
      <c r="W188" s="136"/>
      <c r="X188" s="145">
        <v>0</v>
      </c>
    </row>
    <row r="189" spans="2:24" ht="12.75" outlineLevel="1">
      <c r="B189" s="170" t="s">
        <v>247</v>
      </c>
      <c r="C189" s="170"/>
      <c r="D189" s="170"/>
      <c r="E189" s="48"/>
      <c r="F189" s="48"/>
      <c r="G189" s="49"/>
      <c r="H189" s="47"/>
      <c r="I189" s="47"/>
      <c r="J189" s="48"/>
      <c r="K189" s="47"/>
      <c r="L189" s="49"/>
      <c r="M189" s="47"/>
      <c r="N189" s="47"/>
      <c r="O189" s="142"/>
      <c r="P189" s="142"/>
      <c r="Q189" s="133"/>
      <c r="R189" s="142"/>
      <c r="S189" s="142"/>
      <c r="T189" s="133"/>
      <c r="U189" s="135"/>
      <c r="V189" s="142"/>
      <c r="W189" s="142"/>
      <c r="X189" s="142"/>
    </row>
    <row r="190" spans="2:24" ht="12.75" outlineLevel="1">
      <c r="B190" s="172" t="s">
        <v>213</v>
      </c>
      <c r="C190" s="170"/>
      <c r="D190" s="170"/>
      <c r="E190" s="48"/>
      <c r="F190" s="48"/>
      <c r="G190" s="49"/>
      <c r="H190" s="47"/>
      <c r="I190" s="47"/>
      <c r="J190" s="48"/>
      <c r="K190" s="47"/>
      <c r="L190" s="49"/>
      <c r="M190" s="47"/>
      <c r="N190" s="47"/>
      <c r="O190" s="142"/>
      <c r="P190" s="142"/>
      <c r="Q190" s="133"/>
      <c r="R190" s="142"/>
      <c r="S190" s="142"/>
      <c r="T190" s="133"/>
      <c r="U190" s="135"/>
      <c r="V190" s="142"/>
      <c r="W190" s="142"/>
      <c r="X190" s="142"/>
    </row>
    <row r="191" spans="2:24" ht="12.75" outlineLevel="1">
      <c r="B191" s="170" t="s">
        <v>199</v>
      </c>
      <c r="C191" s="170"/>
      <c r="D191" s="170"/>
      <c r="E191" s="52">
        <v>193</v>
      </c>
      <c r="F191" s="52">
        <v>1307.9166666666665</v>
      </c>
      <c r="G191" s="46">
        <v>752.3939145277395</v>
      </c>
      <c r="H191" s="125">
        <f>O191+P191</f>
        <v>13818</v>
      </c>
      <c r="I191" s="125">
        <f>R191+S191</f>
        <v>12843.096078125322</v>
      </c>
      <c r="J191" s="52">
        <v>122.14722222222221</v>
      </c>
      <c r="K191" s="125">
        <f>SUM(U191:X191)</f>
        <v>7489.8385714285705</v>
      </c>
      <c r="L191" s="46">
        <v>1132.9752607709752</v>
      </c>
      <c r="M191" s="125">
        <f>SUM(E191:L191)</f>
        <v>37659.36771374149</v>
      </c>
      <c r="N191" s="47"/>
      <c r="O191" s="145">
        <v>13517</v>
      </c>
      <c r="P191" s="145">
        <v>301</v>
      </c>
      <c r="Q191" s="133"/>
      <c r="R191" s="145">
        <v>12843.096078125322</v>
      </c>
      <c r="S191" s="145"/>
      <c r="T191" s="133"/>
      <c r="U191" s="134">
        <v>7338.5052380952375</v>
      </c>
      <c r="V191" s="136"/>
      <c r="W191" s="136"/>
      <c r="X191" s="145">
        <v>151.33333333333334</v>
      </c>
    </row>
    <row r="192" spans="2:24" ht="12.75" outlineLevel="1">
      <c r="B192" s="170" t="s">
        <v>211</v>
      </c>
      <c r="C192" s="170"/>
      <c r="D192" s="170"/>
      <c r="E192" s="52">
        <v>37501</v>
      </c>
      <c r="F192" s="52">
        <v>123792.66666666667</v>
      </c>
      <c r="G192" s="46">
        <v>41231.29358850088</v>
      </c>
      <c r="H192" s="125">
        <f>O192+P192</f>
        <v>1021795</v>
      </c>
      <c r="I192" s="125">
        <f>R192+S192</f>
        <v>1171521.9805137373</v>
      </c>
      <c r="J192" s="52">
        <v>20318</v>
      </c>
      <c r="K192" s="125">
        <f>SUM(U192:X192)</f>
        <v>1073211.6275965802</v>
      </c>
      <c r="L192" s="46">
        <v>259133.65477222204</v>
      </c>
      <c r="M192" s="125">
        <f>SUM(E192:L192)</f>
        <v>3748505.2231377074</v>
      </c>
      <c r="N192" s="47"/>
      <c r="O192" s="145">
        <v>995607</v>
      </c>
      <c r="P192" s="145">
        <v>26188</v>
      </c>
      <c r="Q192" s="133"/>
      <c r="R192" s="145">
        <v>1171521.9805137373</v>
      </c>
      <c r="S192" s="145"/>
      <c r="T192" s="133"/>
      <c r="U192" s="134">
        <v>1038855.0442632468</v>
      </c>
      <c r="V192" s="136"/>
      <c r="W192" s="136"/>
      <c r="X192" s="145">
        <v>34356.583333333336</v>
      </c>
    </row>
    <row r="193" spans="2:24" ht="12.75" outlineLevel="1">
      <c r="B193" s="170" t="s">
        <v>201</v>
      </c>
      <c r="C193" s="170"/>
      <c r="D193" s="170"/>
      <c r="E193" s="52">
        <v>349666</v>
      </c>
      <c r="F193" s="52">
        <v>1018467</v>
      </c>
      <c r="G193" s="46">
        <v>272437.7450808803</v>
      </c>
      <c r="H193" s="125">
        <f>O193+P193</f>
        <v>8203908</v>
      </c>
      <c r="I193" s="125">
        <f>R193+S193</f>
        <v>9133929.554967623</v>
      </c>
      <c r="J193" s="52">
        <v>189819.29</v>
      </c>
      <c r="K193" s="125">
        <f>SUM(U193:X193)</f>
        <v>7452484.889647571</v>
      </c>
      <c r="L193" s="46">
        <v>1920236.414937759</v>
      </c>
      <c r="M193" s="125">
        <f>SUM(E193:L193)</f>
        <v>28540948.894633833</v>
      </c>
      <c r="N193" s="47"/>
      <c r="O193" s="145">
        <v>7982664</v>
      </c>
      <c r="P193" s="145">
        <v>221244</v>
      </c>
      <c r="Q193" s="133"/>
      <c r="R193" s="145">
        <v>9133929.554967623</v>
      </c>
      <c r="S193" s="145"/>
      <c r="T193" s="133"/>
      <c r="U193" s="134">
        <v>7248805.889647571</v>
      </c>
      <c r="V193" s="136"/>
      <c r="W193" s="136"/>
      <c r="X193" s="145">
        <v>203679</v>
      </c>
    </row>
    <row r="194" spans="2:24" ht="12.75" outlineLevel="1">
      <c r="B194" s="170" t="s">
        <v>202</v>
      </c>
      <c r="C194" s="170"/>
      <c r="D194" s="170"/>
      <c r="E194" s="52">
        <v>100239742</v>
      </c>
      <c r="F194" s="52">
        <v>264853980</v>
      </c>
      <c r="G194" s="46">
        <v>73885070.50453873</v>
      </c>
      <c r="H194" s="125">
        <f>O194+P194</f>
        <v>2177343096</v>
      </c>
      <c r="I194" s="125">
        <f>R194+S194</f>
        <v>2564906473.101246</v>
      </c>
      <c r="J194" s="52">
        <v>49758176</v>
      </c>
      <c r="K194" s="125">
        <f>SUM(U194:X194)</f>
        <v>2173549498.595227</v>
      </c>
      <c r="L194" s="46">
        <v>502812810.8963092</v>
      </c>
      <c r="M194" s="125">
        <f>SUM(E194:L194)</f>
        <v>7907348847.097321</v>
      </c>
      <c r="N194" s="47"/>
      <c r="O194" s="145">
        <v>2115389194</v>
      </c>
      <c r="P194" s="145">
        <v>61953902</v>
      </c>
      <c r="Q194" s="133"/>
      <c r="R194" s="145">
        <v>2564906473.101246</v>
      </c>
      <c r="S194" s="145"/>
      <c r="T194" s="133"/>
      <c r="U194" s="134">
        <v>2115629372.5952268</v>
      </c>
      <c r="V194" s="136"/>
      <c r="W194" s="136"/>
      <c r="X194" s="145">
        <v>57920126</v>
      </c>
    </row>
    <row r="195" spans="2:24" ht="12.75" outlineLevel="1">
      <c r="B195" s="170" t="s">
        <v>203</v>
      </c>
      <c r="C195" s="170"/>
      <c r="D195" s="170"/>
      <c r="E195" s="52">
        <v>1433724</v>
      </c>
      <c r="F195" s="52">
        <v>0</v>
      </c>
      <c r="G195" s="46">
        <v>190387.99052393468</v>
      </c>
      <c r="H195" s="125">
        <f>O195+P195</f>
        <v>42748779</v>
      </c>
      <c r="I195" s="125">
        <f>R195+S195</f>
        <v>0</v>
      </c>
      <c r="J195" s="52">
        <v>802567.0000000009</v>
      </c>
      <c r="K195" s="125">
        <f>SUM(U195:X195)</f>
        <v>35323979.52755905</v>
      </c>
      <c r="L195" s="46">
        <v>0</v>
      </c>
      <c r="M195" s="125">
        <f>SUM(E195:L195)</f>
        <v>80499437.51808298</v>
      </c>
      <c r="N195" s="47"/>
      <c r="O195" s="145">
        <v>41017899</v>
      </c>
      <c r="P195" s="145">
        <v>1730880</v>
      </c>
      <c r="Q195" s="133"/>
      <c r="R195" s="145">
        <v>0</v>
      </c>
      <c r="S195" s="145"/>
      <c r="T195" s="133"/>
      <c r="U195" s="134">
        <v>35323979.52755905</v>
      </c>
      <c r="V195" s="136"/>
      <c r="W195" s="136"/>
      <c r="X195" s="145">
        <v>0</v>
      </c>
    </row>
    <row r="196" spans="2:24" ht="12.75" outlineLevel="1">
      <c r="B196" s="170" t="s">
        <v>247</v>
      </c>
      <c r="C196" s="170"/>
      <c r="D196" s="170"/>
      <c r="E196" s="48"/>
      <c r="F196" s="48"/>
      <c r="G196" s="49"/>
      <c r="H196" s="47"/>
      <c r="I196" s="47"/>
      <c r="J196" s="48"/>
      <c r="K196" s="47"/>
      <c r="L196" s="49"/>
      <c r="M196" s="47"/>
      <c r="N196" s="47"/>
      <c r="O196" s="142"/>
      <c r="P196" s="142"/>
      <c r="Q196" s="133"/>
      <c r="R196" s="142"/>
      <c r="S196" s="142"/>
      <c r="T196" s="133"/>
      <c r="U196" s="135"/>
      <c r="V196" s="142"/>
      <c r="W196" s="142"/>
      <c r="X196" s="142"/>
    </row>
    <row r="197" spans="2:24" ht="12.75" outlineLevel="1">
      <c r="B197" s="172" t="s">
        <v>214</v>
      </c>
      <c r="C197" s="170"/>
      <c r="D197" s="170"/>
      <c r="E197" s="48"/>
      <c r="F197" s="48"/>
      <c r="G197" s="49"/>
      <c r="H197" s="47"/>
      <c r="I197" s="47"/>
      <c r="J197" s="48"/>
      <c r="K197" s="47"/>
      <c r="L197" s="49"/>
      <c r="M197" s="47"/>
      <c r="N197" s="47"/>
      <c r="O197" s="142"/>
      <c r="P197" s="142"/>
      <c r="Q197" s="133"/>
      <c r="R197" s="142"/>
      <c r="S197" s="142"/>
      <c r="T197" s="133"/>
      <c r="U197" s="135"/>
      <c r="V197" s="142"/>
      <c r="W197" s="142"/>
      <c r="X197" s="142"/>
    </row>
    <row r="198" spans="2:24" ht="12.75" outlineLevel="1">
      <c r="B198" s="170" t="s">
        <v>199</v>
      </c>
      <c r="C198" s="170"/>
      <c r="D198" s="170"/>
      <c r="E198" s="53">
        <v>302</v>
      </c>
      <c r="F198" s="52">
        <v>429.25</v>
      </c>
      <c r="G198" s="46">
        <v>0</v>
      </c>
      <c r="H198" s="125">
        <f>O198+P198</f>
        <v>3529</v>
      </c>
      <c r="I198" s="125">
        <f>R198+S198</f>
        <v>6425.081429012352</v>
      </c>
      <c r="J198" s="52">
        <v>105.31944444444444</v>
      </c>
      <c r="K198" s="125">
        <f>SUM(U198:X198)</f>
        <v>15236.75</v>
      </c>
      <c r="L198" s="46">
        <v>204.77666666666653</v>
      </c>
      <c r="M198" s="125">
        <f>SUM(E198:L198)</f>
        <v>26232.177540123463</v>
      </c>
      <c r="N198" s="47"/>
      <c r="O198" s="145">
        <v>3528</v>
      </c>
      <c r="P198" s="145">
        <v>1</v>
      </c>
      <c r="Q198" s="133"/>
      <c r="R198" s="145">
        <v>6425.081429012352</v>
      </c>
      <c r="S198" s="145"/>
      <c r="T198" s="133"/>
      <c r="U198" s="134">
        <v>15027.416666666666</v>
      </c>
      <c r="V198" s="136"/>
      <c r="W198" s="136"/>
      <c r="X198" s="145">
        <v>209.33333333333334</v>
      </c>
    </row>
    <row r="199" spans="2:24" ht="12.75" outlineLevel="1">
      <c r="B199" s="170" t="s">
        <v>211</v>
      </c>
      <c r="C199" s="170"/>
      <c r="D199" s="170"/>
      <c r="E199" s="53">
        <v>23758</v>
      </c>
      <c r="F199" s="52">
        <v>21322.5</v>
      </c>
      <c r="G199" s="46">
        <v>0</v>
      </c>
      <c r="H199" s="125">
        <f>O199+P199</f>
        <v>90608</v>
      </c>
      <c r="I199" s="125">
        <f>R199+S199</f>
        <v>213843.63391203652</v>
      </c>
      <c r="J199" s="52">
        <v>6636</v>
      </c>
      <c r="K199" s="125">
        <f>SUM(U199:X199)</f>
        <v>694939.2338827839</v>
      </c>
      <c r="L199" s="46">
        <v>8709.717391304348</v>
      </c>
      <c r="M199" s="125">
        <f>SUM(E199:L199)</f>
        <v>1059817.085186125</v>
      </c>
      <c r="N199" s="47"/>
      <c r="O199" s="145">
        <v>90566</v>
      </c>
      <c r="P199" s="145">
        <v>42</v>
      </c>
      <c r="Q199" s="133"/>
      <c r="R199" s="145">
        <v>213843.63391203652</v>
      </c>
      <c r="S199" s="145"/>
      <c r="T199" s="133"/>
      <c r="U199" s="134">
        <v>682130.6505494505</v>
      </c>
      <c r="V199" s="136"/>
      <c r="W199" s="136"/>
      <c r="X199" s="145">
        <v>12808.583333333334</v>
      </c>
    </row>
    <row r="200" spans="2:24" ht="12.75" outlineLevel="1">
      <c r="B200" s="170" t="s">
        <v>221</v>
      </c>
      <c r="C200" s="170"/>
      <c r="D200" s="170"/>
      <c r="E200" s="53">
        <v>15619378</v>
      </c>
      <c r="F200" s="52">
        <v>6616072</v>
      </c>
      <c r="G200" s="46">
        <v>0</v>
      </c>
      <c r="H200" s="125">
        <f>O200+P200</f>
        <v>63928458</v>
      </c>
      <c r="I200" s="125">
        <f>R200+S200</f>
        <v>166255601.1486593</v>
      </c>
      <c r="J200" s="52">
        <v>5565758</v>
      </c>
      <c r="K200" s="125">
        <f>SUM(U200:X200)</f>
        <v>432833734.52159387</v>
      </c>
      <c r="L200" s="46">
        <v>7529518.710307768</v>
      </c>
      <c r="M200" s="125">
        <f>SUM(E200:L200)</f>
        <v>698348520.3805609</v>
      </c>
      <c r="N200" s="47"/>
      <c r="O200" s="145">
        <v>63923780</v>
      </c>
      <c r="P200" s="145">
        <v>4678</v>
      </c>
      <c r="Q200" s="133"/>
      <c r="R200" s="145">
        <v>166255601.1486593</v>
      </c>
      <c r="S200" s="145"/>
      <c r="T200" s="133"/>
      <c r="U200" s="134">
        <v>426196082.52159387</v>
      </c>
      <c r="V200" s="136"/>
      <c r="W200" s="136"/>
      <c r="X200" s="145">
        <v>6637652</v>
      </c>
    </row>
    <row r="201" spans="2:24" ht="12.75" outlineLevel="1">
      <c r="B201" s="170" t="s">
        <v>202</v>
      </c>
      <c r="C201" s="170"/>
      <c r="D201" s="170"/>
      <c r="E201" s="53">
        <v>31625622</v>
      </c>
      <c r="F201" s="52">
        <v>12916512</v>
      </c>
      <c r="G201" s="46">
        <v>0</v>
      </c>
      <c r="H201" s="125">
        <f>O201+P201</f>
        <v>96963207</v>
      </c>
      <c r="I201" s="125">
        <f>R201+S201</f>
        <v>260903088.65829483</v>
      </c>
      <c r="J201" s="52">
        <v>10617432</v>
      </c>
      <c r="K201" s="125">
        <f>SUM(U201:X201)</f>
        <v>682841217.1601062</v>
      </c>
      <c r="L201" s="46">
        <v>9748896.69360764</v>
      </c>
      <c r="M201" s="125">
        <f>SUM(E201:L201)</f>
        <v>1105615975.5120084</v>
      </c>
      <c r="N201" s="47"/>
      <c r="O201" s="145">
        <v>96934539</v>
      </c>
      <c r="P201" s="145">
        <v>28668</v>
      </c>
      <c r="Q201" s="133"/>
      <c r="R201" s="145">
        <v>260903088.65829483</v>
      </c>
      <c r="S201" s="145"/>
      <c r="T201" s="133"/>
      <c r="U201" s="134">
        <v>670346798.1601062</v>
      </c>
      <c r="V201" s="136"/>
      <c r="W201" s="136"/>
      <c r="X201" s="145">
        <v>12494419</v>
      </c>
    </row>
    <row r="202" spans="2:24" ht="12.75" outlineLevel="1">
      <c r="B202" s="170" t="s">
        <v>203</v>
      </c>
      <c r="C202" s="170"/>
      <c r="D202" s="170"/>
      <c r="E202" s="53">
        <v>859352</v>
      </c>
      <c r="F202" s="52">
        <v>0</v>
      </c>
      <c r="G202" s="46">
        <v>0</v>
      </c>
      <c r="H202" s="125">
        <f>O202+P202</f>
        <v>0</v>
      </c>
      <c r="I202" s="125">
        <f>R202+S202</f>
        <v>0</v>
      </c>
      <c r="J202" s="52">
        <v>266992</v>
      </c>
      <c r="K202" s="125">
        <f>SUM(U202:X202)</f>
        <v>17707362.204724405</v>
      </c>
      <c r="L202" s="46">
        <v>0</v>
      </c>
      <c r="M202" s="125">
        <f>SUM(E202:L202)</f>
        <v>18833706.204724405</v>
      </c>
      <c r="N202" s="47"/>
      <c r="O202" s="145">
        <v>0</v>
      </c>
      <c r="P202" s="145">
        <v>0</v>
      </c>
      <c r="Q202" s="133"/>
      <c r="R202" s="145">
        <v>0</v>
      </c>
      <c r="S202" s="145"/>
      <c r="T202" s="133"/>
      <c r="U202" s="134">
        <v>17707362.204724405</v>
      </c>
      <c r="V202" s="136"/>
      <c r="W202" s="136"/>
      <c r="X202" s="145">
        <v>0</v>
      </c>
    </row>
    <row r="203" spans="2:24" ht="12.75" outlineLevel="1">
      <c r="B203" s="170" t="s">
        <v>247</v>
      </c>
      <c r="C203" s="170"/>
      <c r="D203" s="170"/>
      <c r="E203" s="48"/>
      <c r="F203" s="48"/>
      <c r="G203" s="49"/>
      <c r="H203" s="47"/>
      <c r="I203" s="47"/>
      <c r="J203" s="48"/>
      <c r="K203" s="47"/>
      <c r="L203" s="49"/>
      <c r="M203" s="47"/>
      <c r="N203" s="47"/>
      <c r="O203" s="142"/>
      <c r="P203" s="142"/>
      <c r="Q203" s="133"/>
      <c r="R203" s="142"/>
      <c r="S203" s="142"/>
      <c r="T203" s="133"/>
      <c r="U203" s="135"/>
      <c r="V203" s="142"/>
      <c r="W203" s="142"/>
      <c r="X203" s="142"/>
    </row>
    <row r="204" spans="2:24" ht="12.75" outlineLevel="1">
      <c r="B204" s="171" t="s">
        <v>505</v>
      </c>
      <c r="C204" s="170"/>
      <c r="D204" s="170"/>
      <c r="E204" s="48"/>
      <c r="F204" s="48"/>
      <c r="G204" s="49"/>
      <c r="H204" s="47"/>
      <c r="I204" s="47"/>
      <c r="J204" s="48"/>
      <c r="K204" s="47"/>
      <c r="L204" s="49"/>
      <c r="M204" s="47"/>
      <c r="N204" s="47"/>
      <c r="O204" s="142"/>
      <c r="P204" s="142"/>
      <c r="Q204" s="133"/>
      <c r="R204" s="142"/>
      <c r="S204" s="142"/>
      <c r="T204" s="133"/>
      <c r="U204" s="135"/>
      <c r="V204" s="142"/>
      <c r="W204" s="142"/>
      <c r="X204" s="142"/>
    </row>
    <row r="205" spans="2:24" ht="12.75" outlineLevel="1">
      <c r="B205" s="170"/>
      <c r="C205" s="170"/>
      <c r="D205" s="170"/>
      <c r="E205" s="48"/>
      <c r="F205" s="48"/>
      <c r="G205" s="49"/>
      <c r="H205" s="47"/>
      <c r="I205" s="47"/>
      <c r="J205" s="48"/>
      <c r="K205" s="47"/>
      <c r="L205" s="49"/>
      <c r="M205" s="47"/>
      <c r="N205" s="47"/>
      <c r="O205" s="142"/>
      <c r="P205" s="142"/>
      <c r="Q205" s="133"/>
      <c r="R205" s="142"/>
      <c r="S205" s="142"/>
      <c r="T205" s="133"/>
      <c r="U205" s="135"/>
      <c r="V205" s="142"/>
      <c r="W205" s="142"/>
      <c r="X205" s="142"/>
    </row>
    <row r="206" spans="2:24" ht="12.75" outlineLevel="1">
      <c r="B206" s="172" t="s">
        <v>222</v>
      </c>
      <c r="C206" s="176"/>
      <c r="D206" s="176"/>
      <c r="E206" s="48"/>
      <c r="F206" s="48"/>
      <c r="G206" s="49"/>
      <c r="H206" s="47"/>
      <c r="I206" s="47"/>
      <c r="J206" s="48"/>
      <c r="K206" s="47"/>
      <c r="L206" s="49"/>
      <c r="M206" s="47"/>
      <c r="N206" s="47"/>
      <c r="O206" s="142"/>
      <c r="P206" s="142"/>
      <c r="Q206" s="133"/>
      <c r="R206" s="142"/>
      <c r="S206" s="142"/>
      <c r="T206" s="133"/>
      <c r="U206" s="135"/>
      <c r="V206" s="142"/>
      <c r="W206" s="142"/>
      <c r="X206" s="142"/>
    </row>
    <row r="207" spans="2:24" ht="12.75" outlineLevel="1">
      <c r="B207" s="170" t="s">
        <v>199</v>
      </c>
      <c r="C207" s="176"/>
      <c r="D207" s="176"/>
      <c r="E207" s="53">
        <v>1087</v>
      </c>
      <c r="F207" s="52">
        <v>5818.1525</v>
      </c>
      <c r="G207" s="46">
        <v>748.6024886520268</v>
      </c>
      <c r="H207" s="125">
        <f>O207+P207</f>
        <v>81983</v>
      </c>
      <c r="I207" s="125">
        <f>R207+S207</f>
        <v>67148.0989497717</v>
      </c>
      <c r="J207" s="52">
        <v>1117</v>
      </c>
      <c r="K207" s="125">
        <f>SUM(U207:X207)</f>
        <v>64948.128333333334</v>
      </c>
      <c r="L207" s="46">
        <v>4283.1738888888885</v>
      </c>
      <c r="M207" s="125">
        <f>SUM(E207:L207)</f>
        <v>227133.15616064594</v>
      </c>
      <c r="N207" s="47"/>
      <c r="O207" s="145">
        <v>80713</v>
      </c>
      <c r="P207" s="145">
        <v>1270</v>
      </c>
      <c r="Q207" s="133"/>
      <c r="R207" s="145">
        <v>67148.0989497717</v>
      </c>
      <c r="S207" s="145"/>
      <c r="T207" s="133"/>
      <c r="U207" s="134">
        <v>63286.128333333334</v>
      </c>
      <c r="V207" s="136"/>
      <c r="W207" s="136"/>
      <c r="X207" s="145">
        <v>1662</v>
      </c>
    </row>
    <row r="208" spans="2:24" ht="12.75" outlineLevel="1">
      <c r="B208" s="170" t="s">
        <v>211</v>
      </c>
      <c r="C208" s="176"/>
      <c r="D208" s="176"/>
      <c r="E208" s="53">
        <v>13365</v>
      </c>
      <c r="F208" s="52">
        <v>132541.87083333332</v>
      </c>
      <c r="G208" s="46">
        <v>19953.369911171743</v>
      </c>
      <c r="H208" s="125">
        <f>O208+P208</f>
        <v>2393907</v>
      </c>
      <c r="I208" s="125">
        <f>R208+S208</f>
        <v>2210686.1478847293</v>
      </c>
      <c r="J208" s="52">
        <v>13941.5</v>
      </c>
      <c r="K208" s="125">
        <f>SUM(U208:X208)</f>
        <v>1949114.3010989008</v>
      </c>
      <c r="L208" s="46">
        <v>117832.20572640511</v>
      </c>
      <c r="M208" s="125">
        <f>SUM(E208:L208)</f>
        <v>6851341.39545454</v>
      </c>
      <c r="N208" s="47"/>
      <c r="O208" s="145">
        <v>2354197</v>
      </c>
      <c r="P208" s="145">
        <v>39710</v>
      </c>
      <c r="Q208" s="133"/>
      <c r="R208" s="145">
        <v>2210686.1478847293</v>
      </c>
      <c r="S208" s="145"/>
      <c r="T208" s="133"/>
      <c r="U208" s="134">
        <v>1901896.3010989008</v>
      </c>
      <c r="V208" s="136"/>
      <c r="W208" s="136"/>
      <c r="X208" s="145">
        <v>47218</v>
      </c>
    </row>
    <row r="209" spans="2:24" ht="12.75" outlineLevel="1">
      <c r="B209" s="170" t="s">
        <v>221</v>
      </c>
      <c r="C209" s="176"/>
      <c r="D209" s="176"/>
      <c r="E209" s="53">
        <v>13101862</v>
      </c>
      <c r="F209" s="52">
        <v>89523710.61503299</v>
      </c>
      <c r="G209" s="46">
        <v>11367800.661022518</v>
      </c>
      <c r="H209" s="125">
        <f>O209+P209</f>
        <v>1183158821</v>
      </c>
      <c r="I209" s="125">
        <f>R209+S209</f>
        <v>993224147.6888692</v>
      </c>
      <c r="J209" s="52">
        <v>10716684</v>
      </c>
      <c r="K209" s="125">
        <f>SUM(U209:X209)</f>
        <v>713208024.1482062</v>
      </c>
      <c r="L209" s="46">
        <v>58956257.93844649</v>
      </c>
      <c r="M209" s="125">
        <f>SUM(E209:L209)</f>
        <v>3073257308.0515776</v>
      </c>
      <c r="N209" s="47"/>
      <c r="O209" s="145">
        <v>1162153413</v>
      </c>
      <c r="P209" s="145">
        <v>21005408</v>
      </c>
      <c r="Q209" s="133"/>
      <c r="R209" s="145">
        <v>993224147.6888692</v>
      </c>
      <c r="S209" s="145"/>
      <c r="T209" s="133"/>
      <c r="U209" s="134">
        <v>698883267.1482062</v>
      </c>
      <c r="V209" s="136"/>
      <c r="W209" s="136"/>
      <c r="X209" s="145">
        <v>14324757</v>
      </c>
    </row>
    <row r="210" spans="2:24" ht="12.75" outlineLevel="1">
      <c r="B210" s="170" t="s">
        <v>202</v>
      </c>
      <c r="C210" s="176"/>
      <c r="D210" s="176"/>
      <c r="E210" s="53">
        <v>22513262</v>
      </c>
      <c r="F210" s="52">
        <v>108323589.5438603</v>
      </c>
      <c r="G210" s="46">
        <v>10978447.420745948</v>
      </c>
      <c r="H210" s="125">
        <f>O210+P210</f>
        <v>1397942720</v>
      </c>
      <c r="I210" s="125">
        <f>R210+S210</f>
        <v>1266352542.343974</v>
      </c>
      <c r="J210" s="52">
        <v>24141683.66235033</v>
      </c>
      <c r="K210" s="125">
        <f>SUM(U210:X210)</f>
        <v>1043697277.9342166</v>
      </c>
      <c r="L210" s="46">
        <v>78840523.43864805</v>
      </c>
      <c r="M210" s="125">
        <f>SUM(E210:L210)</f>
        <v>3952790046.3437953</v>
      </c>
      <c r="N210" s="47"/>
      <c r="O210" s="145">
        <v>1373110765</v>
      </c>
      <c r="P210" s="145">
        <v>24831955</v>
      </c>
      <c r="Q210" s="133"/>
      <c r="R210" s="145">
        <v>1266352542.343974</v>
      </c>
      <c r="S210" s="145"/>
      <c r="T210" s="133"/>
      <c r="U210" s="134">
        <v>1021804513.9342166</v>
      </c>
      <c r="V210" s="136"/>
      <c r="W210" s="136"/>
      <c r="X210" s="145">
        <v>21892764</v>
      </c>
    </row>
    <row r="211" spans="2:24" ht="12.75" outlineLevel="1">
      <c r="B211" s="170" t="s">
        <v>247</v>
      </c>
      <c r="C211" s="176"/>
      <c r="D211" s="176"/>
      <c r="E211" s="48"/>
      <c r="F211" s="48"/>
      <c r="G211" s="49"/>
      <c r="H211" s="47"/>
      <c r="I211" s="47"/>
      <c r="J211" s="48"/>
      <c r="K211" s="47"/>
      <c r="L211" s="49"/>
      <c r="M211" s="47"/>
      <c r="N211" s="47"/>
      <c r="O211" s="142"/>
      <c r="P211" s="142"/>
      <c r="Q211" s="133"/>
      <c r="R211" s="142"/>
      <c r="S211" s="142"/>
      <c r="T211" s="133"/>
      <c r="U211" s="135"/>
      <c r="V211" s="142"/>
      <c r="W211" s="142"/>
      <c r="X211" s="142"/>
    </row>
    <row r="212" spans="2:24" ht="12.75" outlineLevel="1">
      <c r="B212" s="172" t="s">
        <v>223</v>
      </c>
      <c r="C212" s="176"/>
      <c r="D212" s="176"/>
      <c r="E212" s="48"/>
      <c r="F212" s="48"/>
      <c r="G212" s="49"/>
      <c r="H212" s="47"/>
      <c r="I212" s="47"/>
      <c r="J212" s="48"/>
      <c r="K212" s="47"/>
      <c r="L212" s="49"/>
      <c r="M212" s="47"/>
      <c r="N212" s="47"/>
      <c r="O212" s="142"/>
      <c r="P212" s="142"/>
      <c r="Q212" s="133"/>
      <c r="R212" s="142"/>
      <c r="S212" s="142"/>
      <c r="T212" s="133"/>
      <c r="U212" s="135"/>
      <c r="V212" s="142"/>
      <c r="W212" s="142"/>
      <c r="X212" s="142"/>
    </row>
    <row r="213" spans="2:24" ht="12.75" outlineLevel="1">
      <c r="B213" s="170" t="s">
        <v>199</v>
      </c>
      <c r="C213" s="176"/>
      <c r="D213" s="176"/>
      <c r="E213" s="52">
        <v>484</v>
      </c>
      <c r="F213" s="52">
        <v>2188.6475</v>
      </c>
      <c r="G213" s="46">
        <v>2395.658903110037</v>
      </c>
      <c r="H213" s="125">
        <f>O213+P213</f>
        <v>34534</v>
      </c>
      <c r="I213" s="125">
        <f>R213+S213</f>
        <v>45909.30017503806</v>
      </c>
      <c r="J213" s="52">
        <v>0</v>
      </c>
      <c r="K213" s="125">
        <f>SUM(U213:X213)</f>
        <v>8573.023888888889</v>
      </c>
      <c r="L213" s="46">
        <v>0</v>
      </c>
      <c r="M213" s="125">
        <f>SUM(E213:L213)</f>
        <v>94084.63046703697</v>
      </c>
      <c r="N213" s="47"/>
      <c r="O213" s="145">
        <v>34120</v>
      </c>
      <c r="P213" s="145">
        <v>414</v>
      </c>
      <c r="Q213" s="133"/>
      <c r="R213" s="145">
        <v>45909.30017503806</v>
      </c>
      <c r="S213" s="145"/>
      <c r="T213" s="133"/>
      <c r="U213" s="134">
        <v>8363.023888888889</v>
      </c>
      <c r="V213" s="136"/>
      <c r="W213" s="136"/>
      <c r="X213" s="145">
        <v>210</v>
      </c>
    </row>
    <row r="214" spans="2:24" ht="12.75" outlineLevel="1">
      <c r="B214" s="170" t="s">
        <v>211</v>
      </c>
      <c r="C214" s="176"/>
      <c r="D214" s="176"/>
      <c r="E214" s="52">
        <v>5983</v>
      </c>
      <c r="F214" s="52">
        <v>47063.74166666666</v>
      </c>
      <c r="G214" s="46">
        <v>79111.51511130203</v>
      </c>
      <c r="H214" s="125">
        <f>O214+P214</f>
        <v>1010468</v>
      </c>
      <c r="I214" s="125">
        <f>R214+S214</f>
        <v>1504648.7675434847</v>
      </c>
      <c r="J214" s="52">
        <v>0</v>
      </c>
      <c r="K214" s="125">
        <f>SUM(U214:X214)</f>
        <v>219186.0571428572</v>
      </c>
      <c r="L214" s="46">
        <v>0</v>
      </c>
      <c r="M214" s="125">
        <f>SUM(E214:L214)</f>
        <v>2866461.0814643106</v>
      </c>
      <c r="N214" s="47"/>
      <c r="O214" s="145">
        <v>998624</v>
      </c>
      <c r="P214" s="145">
        <v>11844</v>
      </c>
      <c r="Q214" s="133"/>
      <c r="R214" s="145">
        <v>1504648.7675434847</v>
      </c>
      <c r="S214" s="145"/>
      <c r="T214" s="133"/>
      <c r="U214" s="134">
        <v>211466.0571428572</v>
      </c>
      <c r="V214" s="136"/>
      <c r="W214" s="136"/>
      <c r="X214" s="145">
        <v>7720</v>
      </c>
    </row>
    <row r="215" spans="2:24" ht="12.75" outlineLevel="1">
      <c r="B215" s="170" t="s">
        <v>224</v>
      </c>
      <c r="C215" s="176"/>
      <c r="D215" s="176"/>
      <c r="E215" s="52">
        <v>11431103</v>
      </c>
      <c r="F215" s="52">
        <v>44920045.876958475</v>
      </c>
      <c r="G215" s="46">
        <v>62215316.39570608</v>
      </c>
      <c r="H215" s="125">
        <f>O215+P215</f>
        <v>813391185</v>
      </c>
      <c r="I215" s="125">
        <f>R215+S215</f>
        <v>978770309.0481484</v>
      </c>
      <c r="J215" s="52">
        <v>0</v>
      </c>
      <c r="K215" s="125">
        <f>SUM(U215:X215)</f>
        <v>144607532.82426006</v>
      </c>
      <c r="L215" s="46">
        <v>0</v>
      </c>
      <c r="M215" s="125">
        <f>SUM(E215:L215)</f>
        <v>2055335492.145073</v>
      </c>
      <c r="N215" s="47"/>
      <c r="O215" s="145">
        <v>803250661</v>
      </c>
      <c r="P215" s="145">
        <v>10140524</v>
      </c>
      <c r="Q215" s="133"/>
      <c r="R215" s="145">
        <v>978770309.0481484</v>
      </c>
      <c r="S215" s="145"/>
      <c r="T215" s="133"/>
      <c r="U215" s="134">
        <v>141784322.82426006</v>
      </c>
      <c r="V215" s="136"/>
      <c r="W215" s="136"/>
      <c r="X215" s="145">
        <v>2823210</v>
      </c>
    </row>
    <row r="216" spans="2:24" ht="12.75" outlineLevel="1">
      <c r="B216" s="170" t="s">
        <v>247</v>
      </c>
      <c r="C216" s="176"/>
      <c r="D216" s="176"/>
      <c r="E216" s="48"/>
      <c r="F216" s="48"/>
      <c r="G216" s="49"/>
      <c r="H216" s="47"/>
      <c r="I216" s="47"/>
      <c r="J216" s="48"/>
      <c r="K216" s="47"/>
      <c r="L216" s="49"/>
      <c r="M216" s="47"/>
      <c r="N216" s="47"/>
      <c r="O216" s="142"/>
      <c r="P216" s="142"/>
      <c r="Q216" s="133"/>
      <c r="R216" s="142"/>
      <c r="S216" s="142"/>
      <c r="T216" s="133"/>
      <c r="U216" s="135"/>
      <c r="V216" s="142"/>
      <c r="W216" s="142"/>
      <c r="X216" s="142"/>
    </row>
    <row r="217" spans="2:24" ht="12.75" outlineLevel="1">
      <c r="B217" s="172" t="s">
        <v>225</v>
      </c>
      <c r="C217" s="176"/>
      <c r="D217" s="176"/>
      <c r="E217" s="48"/>
      <c r="F217" s="48"/>
      <c r="G217" s="49"/>
      <c r="H217" s="47"/>
      <c r="I217" s="47"/>
      <c r="J217" s="48"/>
      <c r="K217" s="47"/>
      <c r="L217" s="49"/>
      <c r="M217" s="47"/>
      <c r="N217" s="47"/>
      <c r="O217" s="142"/>
      <c r="P217" s="142"/>
      <c r="Q217" s="133"/>
      <c r="R217" s="142"/>
      <c r="S217" s="142"/>
      <c r="T217" s="133"/>
      <c r="U217" s="135"/>
      <c r="V217" s="142"/>
      <c r="W217" s="142"/>
      <c r="X217" s="142"/>
    </row>
    <row r="218" spans="2:24" ht="12.75" outlineLevel="1">
      <c r="B218" s="170" t="s">
        <v>199</v>
      </c>
      <c r="C218" s="176"/>
      <c r="D218" s="176"/>
      <c r="E218" s="52">
        <v>31256</v>
      </c>
      <c r="F218" s="52">
        <v>72700.28166666665</v>
      </c>
      <c r="G218" s="46">
        <v>7408.905333268406</v>
      </c>
      <c r="H218" s="125">
        <f>O218+P218</f>
        <v>1069689</v>
      </c>
      <c r="I218" s="125">
        <f>R218+S218</f>
        <v>755969.4315449012</v>
      </c>
      <c r="J218" s="52">
        <v>17138.212850910535</v>
      </c>
      <c r="K218" s="125">
        <f>SUM(U218:X218)</f>
        <v>1370561.680555556</v>
      </c>
      <c r="L218" s="46">
        <v>40608.753888888896</v>
      </c>
      <c r="M218" s="125">
        <f>SUM(E218:L218)</f>
        <v>3365332.2658401914</v>
      </c>
      <c r="N218" s="47"/>
      <c r="O218" s="145">
        <v>1049738</v>
      </c>
      <c r="P218" s="145">
        <v>19951</v>
      </c>
      <c r="Q218" s="133"/>
      <c r="R218" s="145">
        <v>755969.4315449012</v>
      </c>
      <c r="S218" s="145"/>
      <c r="T218" s="133"/>
      <c r="U218" s="134">
        <v>1345212.680555556</v>
      </c>
      <c r="V218" s="136"/>
      <c r="W218" s="136"/>
      <c r="X218" s="145">
        <v>25349</v>
      </c>
    </row>
    <row r="219" spans="2:24" ht="12.75" outlineLevel="1">
      <c r="B219" s="170" t="s">
        <v>221</v>
      </c>
      <c r="C219" s="176"/>
      <c r="D219" s="176"/>
      <c r="E219" s="52">
        <v>59836154</v>
      </c>
      <c r="F219" s="52">
        <v>178700282.86062685</v>
      </c>
      <c r="G219" s="46">
        <v>22484579.716099344</v>
      </c>
      <c r="H219" s="125">
        <f>O219+P219</f>
        <v>2651990064</v>
      </c>
      <c r="I219" s="125">
        <f>R219+S219</f>
        <v>1994835121.595283</v>
      </c>
      <c r="J219" s="52">
        <v>33658229.785184935</v>
      </c>
      <c r="K219" s="125">
        <f>SUM(U219:X219)</f>
        <v>2422920669.3917336</v>
      </c>
      <c r="L219" s="46">
        <v>75385964.3373494</v>
      </c>
      <c r="M219" s="125">
        <f>SUM(E219:L219)</f>
        <v>7439811065.6862755</v>
      </c>
      <c r="N219" s="47"/>
      <c r="O219" s="145">
        <v>2604545200</v>
      </c>
      <c r="P219" s="145">
        <v>47444864</v>
      </c>
      <c r="Q219" s="133"/>
      <c r="R219" s="145">
        <v>1994835121.595283</v>
      </c>
      <c r="S219" s="145"/>
      <c r="T219" s="133"/>
      <c r="U219" s="134">
        <v>2380015785.3917336</v>
      </c>
      <c r="V219" s="136"/>
      <c r="W219" s="136"/>
      <c r="X219" s="145">
        <v>42904884</v>
      </c>
    </row>
    <row r="220" spans="2:24" ht="12.75" outlineLevel="1">
      <c r="B220" s="170" t="s">
        <v>202</v>
      </c>
      <c r="C220" s="176"/>
      <c r="D220" s="176"/>
      <c r="E220" s="52">
        <v>67202927</v>
      </c>
      <c r="F220" s="52">
        <v>176374216.63354418</v>
      </c>
      <c r="G220" s="46">
        <v>15999082.963072244</v>
      </c>
      <c r="H220" s="125">
        <f>O220+P220</f>
        <v>2264968972</v>
      </c>
      <c r="I220" s="125">
        <f>R220+S220</f>
        <v>1936608066.1445348</v>
      </c>
      <c r="J220" s="52">
        <v>37997377.343002975</v>
      </c>
      <c r="K220" s="125">
        <f>SUM(U220:X220)</f>
        <v>2532665410.531884</v>
      </c>
      <c r="L220" s="46">
        <v>94024918.81666332</v>
      </c>
      <c r="M220" s="125">
        <f>SUM(E220:L220)</f>
        <v>7125840971.432702</v>
      </c>
      <c r="N220" s="47"/>
      <c r="O220" s="145">
        <v>2228921197</v>
      </c>
      <c r="P220" s="145">
        <v>36047775</v>
      </c>
      <c r="Q220" s="133"/>
      <c r="R220" s="145">
        <v>1936608066.1445348</v>
      </c>
      <c r="S220" s="145"/>
      <c r="T220" s="133"/>
      <c r="U220" s="134">
        <v>2491028783.531884</v>
      </c>
      <c r="V220" s="136"/>
      <c r="W220" s="136"/>
      <c r="X220" s="145">
        <v>41636627</v>
      </c>
    </row>
    <row r="221" spans="2:24" ht="12.75" outlineLevel="1">
      <c r="B221" s="170" t="s">
        <v>247</v>
      </c>
      <c r="C221" s="176"/>
      <c r="D221" s="176"/>
      <c r="E221" s="51"/>
      <c r="F221" s="51"/>
      <c r="G221" s="49"/>
      <c r="H221" s="47"/>
      <c r="I221" s="47"/>
      <c r="J221" s="51"/>
      <c r="K221" s="47"/>
      <c r="L221" s="49"/>
      <c r="M221" s="47"/>
      <c r="N221" s="47"/>
      <c r="O221" s="144"/>
      <c r="P221" s="144"/>
      <c r="Q221" s="133"/>
      <c r="R221" s="144"/>
      <c r="S221" s="144"/>
      <c r="T221" s="133"/>
      <c r="U221" s="135"/>
      <c r="V221" s="144"/>
      <c r="W221" s="144"/>
      <c r="X221" s="144"/>
    </row>
    <row r="222" spans="2:24" ht="12.75" outlineLevel="1">
      <c r="B222" s="172" t="s">
        <v>226</v>
      </c>
      <c r="C222" s="176"/>
      <c r="D222" s="176"/>
      <c r="E222" s="48"/>
      <c r="F222" s="48"/>
      <c r="G222" s="49"/>
      <c r="H222" s="47"/>
      <c r="I222" s="47"/>
      <c r="J222" s="48"/>
      <c r="K222" s="47"/>
      <c r="L222" s="49"/>
      <c r="M222" s="47"/>
      <c r="N222" s="47"/>
      <c r="O222" s="142"/>
      <c r="P222" s="142"/>
      <c r="Q222" s="133"/>
      <c r="R222" s="142"/>
      <c r="S222" s="142"/>
      <c r="T222" s="133"/>
      <c r="U222" s="135"/>
      <c r="V222" s="142"/>
      <c r="W222" s="142"/>
      <c r="X222" s="142"/>
    </row>
    <row r="223" spans="2:24" ht="12.75" outlineLevel="1">
      <c r="B223" s="170" t="s">
        <v>199</v>
      </c>
      <c r="C223" s="176"/>
      <c r="D223" s="176"/>
      <c r="E223" s="52">
        <v>18242</v>
      </c>
      <c r="F223" s="52">
        <v>115707.32416666669</v>
      </c>
      <c r="G223" s="46">
        <v>89566.44879912009</v>
      </c>
      <c r="H223" s="125">
        <f>O223+P223</f>
        <v>1312402</v>
      </c>
      <c r="I223" s="125">
        <f>R223+S223</f>
        <v>1894300.6980593621</v>
      </c>
      <c r="J223" s="52">
        <v>12240.287149089465</v>
      </c>
      <c r="K223" s="125">
        <f>SUM(U223:X223)</f>
        <v>514215.9572222221</v>
      </c>
      <c r="L223" s="46">
        <v>5484.238888888888</v>
      </c>
      <c r="M223" s="125">
        <f>SUM(E223:L223)</f>
        <v>3962158.954285349</v>
      </c>
      <c r="N223" s="47"/>
      <c r="O223" s="145">
        <v>1287727</v>
      </c>
      <c r="P223" s="145">
        <v>24675</v>
      </c>
      <c r="Q223" s="133"/>
      <c r="R223" s="145">
        <v>1894300.6980593621</v>
      </c>
      <c r="S223" s="145"/>
      <c r="T223" s="133"/>
      <c r="U223" s="134">
        <v>504263.4572222221</v>
      </c>
      <c r="V223" s="136"/>
      <c r="W223" s="136"/>
      <c r="X223" s="145">
        <v>9952.5</v>
      </c>
    </row>
    <row r="224" spans="2:24" ht="12.75" outlineLevel="1">
      <c r="B224" s="170" t="s">
        <v>224</v>
      </c>
      <c r="C224" s="176"/>
      <c r="D224" s="176"/>
      <c r="E224" s="52">
        <v>49282119</v>
      </c>
      <c r="F224" s="52">
        <v>332375348.38196343</v>
      </c>
      <c r="G224" s="46">
        <v>302051262.8740225</v>
      </c>
      <c r="H224" s="125">
        <f>O224+P224</f>
        <v>4343448348</v>
      </c>
      <c r="I224" s="125">
        <f>R224+S224</f>
        <v>5838525951.103242</v>
      </c>
      <c r="J224" s="52">
        <v>32670538.711109348</v>
      </c>
      <c r="K224" s="125">
        <f>SUM(U224:X224)</f>
        <v>1347625411.4794629</v>
      </c>
      <c r="L224" s="46">
        <v>13753450.770261219</v>
      </c>
      <c r="M224" s="125">
        <f>SUM(E224:L224)</f>
        <v>12259732430.320063</v>
      </c>
      <c r="N224" s="47"/>
      <c r="O224" s="145">
        <v>4275906961</v>
      </c>
      <c r="P224" s="145">
        <v>67541387</v>
      </c>
      <c r="Q224" s="133"/>
      <c r="R224" s="145">
        <v>5838525951.103242</v>
      </c>
      <c r="S224" s="145"/>
      <c r="T224" s="133"/>
      <c r="U224" s="134">
        <v>1328115410.4794629</v>
      </c>
      <c r="V224" s="136"/>
      <c r="W224" s="136"/>
      <c r="X224" s="145">
        <v>19510001</v>
      </c>
    </row>
    <row r="225" spans="2:24" ht="12.75" outlineLevel="1">
      <c r="B225" s="170" t="s">
        <v>247</v>
      </c>
      <c r="C225" s="176"/>
      <c r="D225" s="176"/>
      <c r="E225" s="54"/>
      <c r="F225" s="54"/>
      <c r="G225" s="49"/>
      <c r="H225" s="49"/>
      <c r="I225" s="54"/>
      <c r="J225" s="54"/>
      <c r="K225" s="49"/>
      <c r="L225" s="49"/>
      <c r="M225" s="47"/>
      <c r="N225" s="47"/>
      <c r="O225" s="136"/>
      <c r="P225" s="136"/>
      <c r="Q225" s="133"/>
      <c r="R225" s="136"/>
      <c r="S225" s="136"/>
      <c r="T225" s="133"/>
      <c r="U225" s="135"/>
      <c r="V225" s="136"/>
      <c r="W225" s="136"/>
      <c r="X225" s="136"/>
    </row>
    <row r="226" spans="2:24" ht="12.75" outlineLevel="1">
      <c r="B226" s="172" t="s">
        <v>232</v>
      </c>
      <c r="C226" s="176"/>
      <c r="D226" s="176"/>
      <c r="E226" s="54"/>
      <c r="F226" s="54"/>
      <c r="G226" s="49"/>
      <c r="H226" s="49"/>
      <c r="I226" s="54"/>
      <c r="J226" s="54"/>
      <c r="K226" s="49"/>
      <c r="L226" s="49"/>
      <c r="M226" s="47"/>
      <c r="N226" s="47"/>
      <c r="O226" s="136"/>
      <c r="P226" s="136"/>
      <c r="Q226" s="133"/>
      <c r="R226" s="136"/>
      <c r="S226" s="136"/>
      <c r="T226" s="133"/>
      <c r="U226" s="135"/>
      <c r="V226" s="136"/>
      <c r="W226" s="136"/>
      <c r="X226" s="136"/>
    </row>
    <row r="227" spans="2:24" ht="12.75" outlineLevel="1">
      <c r="B227" s="170" t="s">
        <v>199</v>
      </c>
      <c r="C227" s="176"/>
      <c r="D227" s="176"/>
      <c r="E227" s="52">
        <v>21663</v>
      </c>
      <c r="F227" s="52">
        <v>82800</v>
      </c>
      <c r="G227" s="46">
        <v>41640.5</v>
      </c>
      <c r="H227" s="125">
        <f>O227+P227</f>
        <v>990107</v>
      </c>
      <c r="I227" s="151">
        <f>R227+S227</f>
        <v>716304</v>
      </c>
      <c r="J227" s="52">
        <v>17491</v>
      </c>
      <c r="K227" s="124">
        <f>SUM(U227:X227)</f>
        <v>545954.3501974341</v>
      </c>
      <c r="L227" s="46">
        <v>21227.94444444444</v>
      </c>
      <c r="M227" s="125">
        <f>SUM(E227:L227)</f>
        <v>2437187.7946418785</v>
      </c>
      <c r="N227" s="47"/>
      <c r="O227" s="145">
        <v>975448</v>
      </c>
      <c r="P227" s="145">
        <v>14659</v>
      </c>
      <c r="Q227" s="133"/>
      <c r="R227" s="145">
        <v>716304</v>
      </c>
      <c r="S227" s="145"/>
      <c r="T227" s="133"/>
      <c r="U227" s="134">
        <v>537607.3501974341</v>
      </c>
      <c r="V227" s="136"/>
      <c r="W227" s="136"/>
      <c r="X227" s="145">
        <v>8347</v>
      </c>
    </row>
    <row r="228" spans="2:24" ht="12.75" outlineLevel="1">
      <c r="B228" s="170" t="s">
        <v>221</v>
      </c>
      <c r="C228" s="176"/>
      <c r="D228" s="176"/>
      <c r="E228" s="52">
        <v>4391345</v>
      </c>
      <c r="F228" s="52">
        <v>0</v>
      </c>
      <c r="G228" s="46">
        <v>8492196.60225003</v>
      </c>
      <c r="H228" s="125">
        <f>O228+P228</f>
        <v>154109093</v>
      </c>
      <c r="I228" s="151">
        <f>R228+S228</f>
        <v>96644865.3482468</v>
      </c>
      <c r="J228" s="52">
        <v>2330681</v>
      </c>
      <c r="K228" s="124">
        <f>SUM(U228:X228)</f>
        <v>111951179.67556246</v>
      </c>
      <c r="L228" s="46">
        <v>3986300.456242223</v>
      </c>
      <c r="M228" s="125">
        <f>SUM(E228:L228)</f>
        <v>381905661.0823015</v>
      </c>
      <c r="N228" s="47"/>
      <c r="O228" s="145">
        <v>150317812</v>
      </c>
      <c r="P228" s="145">
        <v>3791281</v>
      </c>
      <c r="Q228" s="133"/>
      <c r="R228" s="145">
        <v>96644865.3482468</v>
      </c>
      <c r="S228" s="145"/>
      <c r="T228" s="133"/>
      <c r="U228" s="134">
        <v>111951179.67556246</v>
      </c>
      <c r="V228" s="136"/>
      <c r="W228" s="136"/>
      <c r="X228" s="145">
        <v>0</v>
      </c>
    </row>
    <row r="229" spans="2:24" ht="12.75" outlineLevel="1">
      <c r="B229" s="170" t="s">
        <v>202</v>
      </c>
      <c r="C229" s="176"/>
      <c r="D229" s="176"/>
      <c r="E229" s="56">
        <v>1970364</v>
      </c>
      <c r="F229" s="56">
        <v>15951090</v>
      </c>
      <c r="G229" s="46">
        <v>3785063.2840231257</v>
      </c>
      <c r="H229" s="125">
        <f>O229+P229</f>
        <v>44312015</v>
      </c>
      <c r="I229" s="151">
        <f>R229+S229</f>
        <v>33132636.898873646</v>
      </c>
      <c r="J229" s="52">
        <v>729583</v>
      </c>
      <c r="K229" s="124">
        <f>SUM(U229:X229)</f>
        <v>39050316.86031451</v>
      </c>
      <c r="L229" s="46">
        <v>1474849.1823639</v>
      </c>
      <c r="M229" s="125">
        <f>SUM(E229:L229)</f>
        <v>140405918.22557518</v>
      </c>
      <c r="N229" s="47"/>
      <c r="O229" s="145">
        <v>43255987</v>
      </c>
      <c r="P229" s="145">
        <v>1056028</v>
      </c>
      <c r="Q229" s="133"/>
      <c r="R229" s="145">
        <v>33132636.898873646</v>
      </c>
      <c r="S229" s="145"/>
      <c r="T229" s="133"/>
      <c r="U229" s="134">
        <v>36022552.86031451</v>
      </c>
      <c r="V229" s="136"/>
      <c r="W229" s="136"/>
      <c r="X229" s="145">
        <v>3027764</v>
      </c>
    </row>
    <row r="230" spans="3:24" ht="12.75" outlineLevel="1">
      <c r="C230" s="176"/>
      <c r="D230" s="176"/>
      <c r="E230" s="48"/>
      <c r="F230" s="48"/>
      <c r="G230" s="49"/>
      <c r="H230" s="49"/>
      <c r="I230" s="54"/>
      <c r="J230" s="54"/>
      <c r="K230" s="49"/>
      <c r="L230" s="49"/>
      <c r="M230" s="47"/>
      <c r="N230" s="47"/>
      <c r="O230" s="133"/>
      <c r="P230" s="133"/>
      <c r="Q230" s="133"/>
      <c r="R230" s="133"/>
      <c r="S230" s="133"/>
      <c r="T230" s="133"/>
      <c r="U230" s="133"/>
      <c r="V230" s="133"/>
      <c r="W230" s="133"/>
      <c r="X230" s="133"/>
    </row>
    <row r="231" spans="2:24" ht="12.75" outlineLevel="1">
      <c r="B231" s="171" t="s">
        <v>506</v>
      </c>
      <c r="C231" s="176"/>
      <c r="D231" s="176"/>
      <c r="E231" s="48"/>
      <c r="F231" s="48"/>
      <c r="G231" s="49"/>
      <c r="H231" s="49"/>
      <c r="I231" s="54"/>
      <c r="J231" s="54"/>
      <c r="K231" s="49"/>
      <c r="L231" s="49"/>
      <c r="M231" s="47"/>
      <c r="N231" s="47"/>
      <c r="O231" s="133"/>
      <c r="P231" s="133"/>
      <c r="Q231" s="133"/>
      <c r="R231" s="133"/>
      <c r="S231" s="133"/>
      <c r="T231" s="133"/>
      <c r="U231" s="133"/>
      <c r="V231" s="133"/>
      <c r="W231" s="133"/>
      <c r="X231" s="133"/>
    </row>
    <row r="232" spans="2:24" ht="12.75" outlineLevel="1">
      <c r="B232" s="170"/>
      <c r="C232" s="176"/>
      <c r="D232" s="176"/>
      <c r="E232" s="48"/>
      <c r="F232" s="48"/>
      <c r="G232" s="49"/>
      <c r="H232" s="49"/>
      <c r="I232" s="54"/>
      <c r="J232" s="54"/>
      <c r="K232" s="49"/>
      <c r="L232" s="49"/>
      <c r="M232" s="47"/>
      <c r="N232" s="47"/>
      <c r="O232" s="133"/>
      <c r="P232" s="133"/>
      <c r="Q232" s="133"/>
      <c r="R232" s="133"/>
      <c r="S232" s="133"/>
      <c r="T232" s="133"/>
      <c r="U232" s="133"/>
      <c r="V232" s="133"/>
      <c r="W232" s="133"/>
      <c r="X232" s="133"/>
    </row>
    <row r="233" spans="2:24" ht="12.75" outlineLevel="1">
      <c r="B233" s="172" t="s">
        <v>235</v>
      </c>
      <c r="C233" s="190"/>
      <c r="D233" s="190"/>
      <c r="E233" s="48"/>
      <c r="F233" s="48"/>
      <c r="G233" s="49"/>
      <c r="H233" s="49"/>
      <c r="I233" s="54"/>
      <c r="J233" s="54"/>
      <c r="K233" s="49"/>
      <c r="L233" s="49"/>
      <c r="M233" s="47"/>
      <c r="N233" s="47"/>
      <c r="O233" s="133"/>
      <c r="P233" s="133"/>
      <c r="Q233" s="133"/>
      <c r="R233" s="133"/>
      <c r="S233" s="133"/>
      <c r="T233" s="133"/>
      <c r="U233" s="133"/>
      <c r="V233" s="133"/>
      <c r="W233" s="133"/>
      <c r="X233" s="133"/>
    </row>
    <row r="234" spans="2:24" ht="12.75" outlineLevel="1">
      <c r="B234" s="170" t="s">
        <v>236</v>
      </c>
      <c r="C234" s="191"/>
      <c r="D234" s="191"/>
      <c r="E234" s="139">
        <f>E227</f>
        <v>21663</v>
      </c>
      <c r="F234" s="139">
        <f aca="true" t="shared" si="13" ref="F234:L234">F227</f>
        <v>82800</v>
      </c>
      <c r="G234" s="139">
        <f>G227</f>
        <v>41640.5</v>
      </c>
      <c r="H234" s="139">
        <f t="shared" si="13"/>
        <v>990107</v>
      </c>
      <c r="I234" s="139">
        <f t="shared" si="13"/>
        <v>716304</v>
      </c>
      <c r="J234" s="139">
        <f t="shared" si="13"/>
        <v>17491</v>
      </c>
      <c r="K234" s="139">
        <f>K227</f>
        <v>545954.3501974341</v>
      </c>
      <c r="L234" s="139">
        <f t="shared" si="13"/>
        <v>21227.94444444444</v>
      </c>
      <c r="M234" s="125">
        <f>SUM(E234:L234)</f>
        <v>2437187.7946418785</v>
      </c>
      <c r="N234" s="54"/>
      <c r="O234" s="136"/>
      <c r="P234" s="136"/>
      <c r="Q234" s="136"/>
      <c r="R234" s="136"/>
      <c r="S234" s="136"/>
      <c r="T234" s="136"/>
      <c r="U234" s="136"/>
      <c r="V234" s="136"/>
      <c r="W234" s="136"/>
      <c r="X234" s="136"/>
    </row>
    <row r="235" spans="2:24" ht="12.75" outlineLevel="1">
      <c r="B235" s="170" t="s">
        <v>237</v>
      </c>
      <c r="C235" s="191"/>
      <c r="D235" s="191"/>
      <c r="E235" s="139">
        <f>E223+E218+E213+E207</f>
        <v>51069</v>
      </c>
      <c r="F235" s="139">
        <f aca="true" t="shared" si="14" ref="F235:L235">F223+F218+F213+F207</f>
        <v>196414.40583333332</v>
      </c>
      <c r="G235" s="139">
        <f>G223+G218+G213+G207</f>
        <v>100119.61552415056</v>
      </c>
      <c r="H235" s="139">
        <f t="shared" si="14"/>
        <v>2498608</v>
      </c>
      <c r="I235" s="139">
        <f t="shared" si="14"/>
        <v>2763327.5287290732</v>
      </c>
      <c r="J235" s="139">
        <f t="shared" si="14"/>
        <v>30495.5</v>
      </c>
      <c r="K235" s="139">
        <f>K223+K218+K213+K207</f>
        <v>1958298.7900000005</v>
      </c>
      <c r="L235" s="139">
        <f t="shared" si="14"/>
        <v>50376.16666666667</v>
      </c>
      <c r="M235" s="125">
        <f>SUM(E235:L235)</f>
        <v>7648709.006753224</v>
      </c>
      <c r="N235" s="54"/>
      <c r="O235" s="136"/>
      <c r="P235" s="136"/>
      <c r="Q235" s="136"/>
      <c r="R235" s="136"/>
      <c r="S235" s="136"/>
      <c r="T235" s="136"/>
      <c r="U235" s="136"/>
      <c r="V235" s="136"/>
      <c r="W235" s="136"/>
      <c r="X235" s="136"/>
    </row>
    <row r="236" spans="2:24" ht="12.75" outlineLevel="1">
      <c r="B236" s="170"/>
      <c r="C236" s="191"/>
      <c r="D236" s="191"/>
      <c r="E236" s="54"/>
      <c r="F236" s="54"/>
      <c r="G236" s="49"/>
      <c r="H236" s="49"/>
      <c r="I236" s="54"/>
      <c r="J236" s="54"/>
      <c r="K236" s="49"/>
      <c r="L236" s="49"/>
      <c r="M236" s="47"/>
      <c r="N236" s="47"/>
      <c r="O236" s="133"/>
      <c r="P236" s="133"/>
      <c r="Q236" s="133"/>
      <c r="R236" s="133"/>
      <c r="S236" s="133"/>
      <c r="T236" s="133"/>
      <c r="U236" s="133"/>
      <c r="V236" s="133"/>
      <c r="W236" s="133"/>
      <c r="X236" s="133"/>
    </row>
    <row r="237" spans="2:24" ht="12.75" outlineLevel="1">
      <c r="B237" s="172" t="s">
        <v>238</v>
      </c>
      <c r="C237" s="190"/>
      <c r="D237" s="190"/>
      <c r="E237" s="54"/>
      <c r="F237" s="54"/>
      <c r="G237" s="49"/>
      <c r="H237" s="49"/>
      <c r="I237" s="54"/>
      <c r="J237" s="54"/>
      <c r="K237" s="49"/>
      <c r="L237" s="49"/>
      <c r="M237" s="47"/>
      <c r="N237" s="47"/>
      <c r="O237" s="133"/>
      <c r="P237" s="133"/>
      <c r="Q237" s="133"/>
      <c r="R237" s="133"/>
      <c r="S237" s="133"/>
      <c r="T237" s="133"/>
      <c r="U237" s="133"/>
      <c r="V237" s="133"/>
      <c r="W237" s="133"/>
      <c r="X237" s="133"/>
    </row>
    <row r="238" spans="2:24" ht="12.75" outlineLevel="1">
      <c r="B238" s="170" t="s">
        <v>239</v>
      </c>
      <c r="C238" s="191"/>
      <c r="D238" s="191"/>
      <c r="E238" s="139">
        <f>E$7*E227</f>
        <v>21663</v>
      </c>
      <c r="F238" s="139">
        <f aca="true" t="shared" si="15" ref="F238:L238">F$7*F227</f>
        <v>82800</v>
      </c>
      <c r="G238" s="139">
        <f>G$7*G227</f>
        <v>41640.5</v>
      </c>
      <c r="H238" s="139">
        <f t="shared" si="15"/>
        <v>990107</v>
      </c>
      <c r="I238" s="139">
        <f t="shared" si="15"/>
        <v>716304</v>
      </c>
      <c r="J238" s="139">
        <f t="shared" si="15"/>
        <v>17491</v>
      </c>
      <c r="K238" s="139">
        <f>K$7*K227</f>
        <v>545954.3501974341</v>
      </c>
      <c r="L238" s="139">
        <f t="shared" si="15"/>
        <v>21227.94444444444</v>
      </c>
      <c r="M238" s="125">
        <f aca="true" t="shared" si="16" ref="M238:M243">SUM(E238:L238)</f>
        <v>2437187.7946418785</v>
      </c>
      <c r="N238" s="54"/>
      <c r="O238" s="136"/>
      <c r="P238" s="136"/>
      <c r="Q238" s="136"/>
      <c r="R238" s="136"/>
      <c r="S238" s="136"/>
      <c r="T238" s="136"/>
      <c r="U238" s="136"/>
      <c r="V238" s="136"/>
      <c r="W238" s="136"/>
      <c r="X238" s="136"/>
    </row>
    <row r="239" spans="2:24" ht="12.75" outlineLevel="1">
      <c r="B239" s="170" t="s">
        <v>494</v>
      </c>
      <c r="C239" s="191"/>
      <c r="D239" s="191"/>
      <c r="E239" s="139">
        <f>E$8*(E223+E218)</f>
        <v>49498</v>
      </c>
      <c r="F239" s="139">
        <f aca="true" t="shared" si="17" ref="F239:L239">F$8*(F223+F218)</f>
        <v>188407.60583333333</v>
      </c>
      <c r="G239" s="139">
        <f>G$8*(G223+G218)</f>
        <v>96975.3541323885</v>
      </c>
      <c r="H239" s="139">
        <f t="shared" si="17"/>
        <v>2382091</v>
      </c>
      <c r="I239" s="139">
        <f t="shared" si="17"/>
        <v>2650270.129604263</v>
      </c>
      <c r="J239" s="139">
        <f t="shared" si="17"/>
        <v>29378.5</v>
      </c>
      <c r="K239" s="139">
        <f>K$8*(K223+K218)</f>
        <v>1884777.637777778</v>
      </c>
      <c r="L239" s="139">
        <f t="shared" si="17"/>
        <v>46092.992777777785</v>
      </c>
      <c r="M239" s="125">
        <f t="shared" si="16"/>
        <v>7327491.220125541</v>
      </c>
      <c r="N239" s="54"/>
      <c r="O239" s="136"/>
      <c r="P239" s="136"/>
      <c r="Q239" s="136"/>
      <c r="R239" s="136"/>
      <c r="S239" s="136"/>
      <c r="T239" s="136"/>
      <c r="U239" s="136"/>
      <c r="V239" s="136"/>
      <c r="W239" s="136"/>
      <c r="X239" s="136"/>
    </row>
    <row r="240" spans="2:24" ht="12.75" outlineLevel="1">
      <c r="B240" s="170" t="s">
        <v>241</v>
      </c>
      <c r="C240" s="191"/>
      <c r="D240" s="191"/>
      <c r="E240" s="139">
        <f>E$9*(E213+E207)</f>
        <v>838.5337579617834</v>
      </c>
      <c r="F240" s="139">
        <f aca="true" t="shared" si="18" ref="F240:L240">F$9*(F213+F207)</f>
        <v>3955.48524655089</v>
      </c>
      <c r="G240" s="139">
        <f>G$9*(G213+G207)</f>
        <v>1220.352816096766</v>
      </c>
      <c r="H240" s="139">
        <f t="shared" si="18"/>
        <v>58867.74969672853</v>
      </c>
      <c r="I240" s="139">
        <f t="shared" si="18"/>
        <v>53594.65210664871</v>
      </c>
      <c r="J240" s="139">
        <f>J$9*(J213+J207)</f>
        <v>517.2497925311203</v>
      </c>
      <c r="K240" s="139">
        <f>K$9*(K213+K207)</f>
        <v>38979.89685340359</v>
      </c>
      <c r="L240" s="139">
        <f t="shared" si="18"/>
        <v>1726.3504190763838</v>
      </c>
      <c r="M240" s="125">
        <f t="shared" si="16"/>
        <v>159700.27068899779</v>
      </c>
      <c r="N240" s="54"/>
      <c r="O240" s="136"/>
      <c r="P240" s="136"/>
      <c r="Q240" s="136"/>
      <c r="R240" s="136"/>
      <c r="S240" s="136"/>
      <c r="T240" s="136"/>
      <c r="U240" s="136"/>
      <c r="V240" s="136"/>
      <c r="W240" s="136"/>
      <c r="X240" s="136"/>
    </row>
    <row r="241" spans="2:24" ht="12.75" outlineLevel="1">
      <c r="B241" s="170" t="s">
        <v>242</v>
      </c>
      <c r="C241" s="191"/>
      <c r="D241" s="191"/>
      <c r="E241" s="139">
        <f>E$10*(E213+E207)</f>
        <v>268.1707006369427</v>
      </c>
      <c r="F241" s="139">
        <f aca="true" t="shared" si="19" ref="F241:L241">F$10*(F213+F207)</f>
        <v>1775.147619174347</v>
      </c>
      <c r="G241" s="139">
        <f>G$10*(G213+G207)</f>
        <v>637.3489953150511</v>
      </c>
      <c r="H241" s="139">
        <f t="shared" si="19"/>
        <v>23054.040842163988</v>
      </c>
      <c r="I241" s="139">
        <f t="shared" si="19"/>
        <v>21904.89120257733</v>
      </c>
      <c r="J241" s="139">
        <f t="shared" si="19"/>
        <v>262.43577685569386</v>
      </c>
      <c r="K241" s="139">
        <f>K$10*(K213+K207)</f>
        <v>12488.797753080982</v>
      </c>
      <c r="L241" s="139">
        <f t="shared" si="19"/>
        <v>1015.1162194267381</v>
      </c>
      <c r="M241" s="125">
        <f t="shared" si="16"/>
        <v>61405.94910923107</v>
      </c>
      <c r="N241" s="54"/>
      <c r="O241" s="136"/>
      <c r="P241" s="136"/>
      <c r="Q241" s="136"/>
      <c r="R241" s="136"/>
      <c r="S241" s="136"/>
      <c r="T241" s="136"/>
      <c r="U241" s="136"/>
      <c r="V241" s="136"/>
      <c r="W241" s="136"/>
      <c r="X241" s="136"/>
    </row>
    <row r="242" spans="2:24" ht="12.75" outlineLevel="1">
      <c r="B242" s="170" t="s">
        <v>243</v>
      </c>
      <c r="C242" s="191"/>
      <c r="D242" s="191"/>
      <c r="E242" s="139">
        <f>E$11*(E213+E207)</f>
        <v>240.15286624203821</v>
      </c>
      <c r="F242" s="139">
        <f aca="true" t="shared" si="20" ref="F242:L242">F$11*(F213+F207)</f>
        <v>1253.228482074492</v>
      </c>
      <c r="G242" s="139">
        <f>G$11*(G213+G207)</f>
        <v>1175.6620851767966</v>
      </c>
      <c r="H242" s="139">
        <f t="shared" si="20"/>
        <v>21019.829767991425</v>
      </c>
      <c r="I242" s="139">
        <f t="shared" si="20"/>
        <v>21681.297062893107</v>
      </c>
      <c r="J242" s="139">
        <f t="shared" si="20"/>
        <v>204.65458736745043</v>
      </c>
      <c r="K242" s="139">
        <f>K$11*(K213+K207)</f>
        <v>14692.578109441381</v>
      </c>
      <c r="L242" s="139">
        <f t="shared" si="20"/>
        <v>854.3561456679139</v>
      </c>
      <c r="M242" s="125">
        <f t="shared" si="16"/>
        <v>61121.7591068546</v>
      </c>
      <c r="N242" s="54"/>
      <c r="O242" s="136"/>
      <c r="P242" s="136"/>
      <c r="Q242" s="136"/>
      <c r="R242" s="136"/>
      <c r="S242" s="136"/>
      <c r="T242" s="136"/>
      <c r="U242" s="136"/>
      <c r="V242" s="136"/>
      <c r="W242" s="136"/>
      <c r="X242" s="136"/>
    </row>
    <row r="243" spans="2:24" ht="12.75" outlineLevel="1">
      <c r="B243" s="170" t="s">
        <v>244</v>
      </c>
      <c r="C243" s="191"/>
      <c r="D243" s="191"/>
      <c r="E243" s="139">
        <f>E$12*(E213+E207)</f>
        <v>224.14267515923567</v>
      </c>
      <c r="F243" s="139">
        <f aca="true" t="shared" si="21" ref="F243:L243">F$12*(F213+F207)</f>
        <v>1022.8516791582425</v>
      </c>
      <c r="G243" s="139">
        <f>G$12*(G213+G207)</f>
        <v>110.89749517344836</v>
      </c>
      <c r="H243" s="139">
        <f t="shared" si="21"/>
        <v>13575.460432820015</v>
      </c>
      <c r="I243" s="139">
        <f t="shared" si="21"/>
        <v>15876.558752690587</v>
      </c>
      <c r="J243" s="139">
        <f>J$12*(J213+J207)</f>
        <v>132.65984324573537</v>
      </c>
      <c r="K243" s="139">
        <f>K$12*(K213+K207)</f>
        <v>7360.115861975848</v>
      </c>
      <c r="L243" s="139">
        <f t="shared" si="21"/>
        <v>687.3511047178533</v>
      </c>
      <c r="M243" s="125">
        <f t="shared" si="16"/>
        <v>38990.03784494097</v>
      </c>
      <c r="N243" s="54"/>
      <c r="O243" s="136"/>
      <c r="P243" s="136"/>
      <c r="Q243" s="136"/>
      <c r="R243" s="136"/>
      <c r="S243" s="136"/>
      <c r="T243" s="136"/>
      <c r="U243" s="136"/>
      <c r="V243" s="136"/>
      <c r="W243" s="136"/>
      <c r="X243" s="136"/>
    </row>
    <row r="244" spans="2:24" ht="12.75" outlineLevel="1">
      <c r="B244" s="170" t="s">
        <v>247</v>
      </c>
      <c r="C244" s="170"/>
      <c r="D244" s="170"/>
      <c r="E244" s="54"/>
      <c r="F244" s="54"/>
      <c r="G244" s="49"/>
      <c r="H244" s="49"/>
      <c r="I244" s="54"/>
      <c r="J244" s="54"/>
      <c r="K244" s="49"/>
      <c r="L244" s="49"/>
      <c r="M244" s="47"/>
      <c r="N244" s="47"/>
      <c r="O244" s="133"/>
      <c r="P244" s="133"/>
      <c r="Q244" s="133"/>
      <c r="R244" s="133"/>
      <c r="S244" s="133"/>
      <c r="T244" s="133"/>
      <c r="U244" s="133"/>
      <c r="V244" s="133"/>
      <c r="W244" s="133"/>
      <c r="X244" s="133"/>
    </row>
    <row r="245" spans="2:24" ht="12.75" outlineLevel="1">
      <c r="B245" s="171" t="s">
        <v>227</v>
      </c>
      <c r="C245" s="171"/>
      <c r="D245" s="171"/>
      <c r="E245" s="54"/>
      <c r="F245" s="54"/>
      <c r="G245" s="49"/>
      <c r="H245" s="49"/>
      <c r="I245" s="54"/>
      <c r="J245" s="54"/>
      <c r="K245" s="49"/>
      <c r="L245" s="49"/>
      <c r="M245" s="47"/>
      <c r="N245" s="47"/>
      <c r="O245" s="133"/>
      <c r="P245" s="133"/>
      <c r="Q245" s="133"/>
      <c r="R245" s="133"/>
      <c r="S245" s="133"/>
      <c r="T245" s="133"/>
      <c r="U245" s="133"/>
      <c r="V245" s="133"/>
      <c r="W245" s="133"/>
      <c r="X245" s="133"/>
    </row>
    <row r="246" spans="2:24" ht="12.75" outlineLevel="1">
      <c r="B246" s="170" t="s">
        <v>247</v>
      </c>
      <c r="C246" s="170"/>
      <c r="D246" s="170"/>
      <c r="E246" s="51"/>
      <c r="F246" s="51"/>
      <c r="G246" s="49"/>
      <c r="H246" s="49"/>
      <c r="I246" s="54"/>
      <c r="J246" s="54"/>
      <c r="K246" s="49"/>
      <c r="L246" s="49"/>
      <c r="M246" s="47"/>
      <c r="N246" s="47"/>
      <c r="O246" s="133"/>
      <c r="P246" s="133"/>
      <c r="Q246" s="133"/>
      <c r="R246" s="133"/>
      <c r="S246" s="133"/>
      <c r="T246" s="133"/>
      <c r="U246" s="133"/>
      <c r="V246" s="133"/>
      <c r="W246" s="133"/>
      <c r="X246" s="133"/>
    </row>
    <row r="247" spans="2:24" ht="12.75" outlineLevel="1">
      <c r="B247" s="169" t="s">
        <v>348</v>
      </c>
      <c r="C247" s="169"/>
      <c r="D247" s="169"/>
      <c r="E247" s="140">
        <f>'PAV (incl RV)'!E174</f>
        <v>21663</v>
      </c>
      <c r="F247" s="140">
        <f>'PAV (incl RV)'!J174</f>
        <v>82800</v>
      </c>
      <c r="G247" s="140">
        <f>'PAV (incl RV)'!T174</f>
        <v>41640.5</v>
      </c>
      <c r="H247" s="125">
        <f aca="true" t="shared" si="22" ref="H247:H254">O247+P247</f>
        <v>912136</v>
      </c>
      <c r="I247" s="113">
        <f>R247+S247</f>
        <v>716357.5</v>
      </c>
      <c r="J247" s="140">
        <f>'PAV (incl RV)'!AD174</f>
        <v>17491</v>
      </c>
      <c r="K247" s="113">
        <f>SUM(U247:X247)</f>
        <v>648674.7895677874</v>
      </c>
      <c r="L247" s="140">
        <f>'PAV (incl RV)'!AN174</f>
        <v>21230.09222484012</v>
      </c>
      <c r="M247" s="125">
        <f aca="true" t="shared" si="23" ref="M247:M254">SUM(E247:L247)</f>
        <v>2461992.8817926273</v>
      </c>
      <c r="N247" s="55"/>
      <c r="O247" s="148">
        <f>'PAV (incl RV)'!O174</f>
        <v>912136</v>
      </c>
      <c r="P247" s="148">
        <f>'PAV (incl RV)'!AS174</f>
        <v>0</v>
      </c>
      <c r="Q247" s="137"/>
      <c r="R247" s="148">
        <f>'PAV (incl RV)'!Y174</f>
        <v>716357.5</v>
      </c>
      <c r="S247" s="137"/>
      <c r="T247" s="137"/>
      <c r="U247" s="149">
        <f>'PAV (incl RV)'!AI174</f>
        <v>640309.9159061172</v>
      </c>
      <c r="V247" s="136"/>
      <c r="W247" s="136"/>
      <c r="X247" s="149">
        <f>'PAV (incl RV)'!AX174</f>
        <v>8364.873661670234</v>
      </c>
    </row>
    <row r="248" spans="2:24" ht="12.75" outlineLevel="1">
      <c r="B248" s="169" t="s">
        <v>349</v>
      </c>
      <c r="C248" s="169"/>
      <c r="D248" s="169"/>
      <c r="E248" s="140">
        <f>'PAV (incl RV)'!E175</f>
        <v>49498</v>
      </c>
      <c r="F248" s="140">
        <f>'PAV (incl RV)'!J175</f>
        <v>188407.60583333333</v>
      </c>
      <c r="G248" s="140">
        <f>'PAV (incl RV)'!T175</f>
        <v>96727.72519022964</v>
      </c>
      <c r="H248" s="125">
        <f t="shared" si="22"/>
        <v>2447442</v>
      </c>
      <c r="I248" s="113">
        <f aca="true" t="shared" si="24" ref="I248:I254">R248+S248</f>
        <v>2646051.5</v>
      </c>
      <c r="J248" s="140">
        <f>'PAV (incl RV)'!AD175</f>
        <v>29378.5</v>
      </c>
      <c r="K248" s="113">
        <f aca="true" t="shared" si="25" ref="K248:K254">SUM(U248:X248)</f>
        <v>1877433.0068272718</v>
      </c>
      <c r="L248" s="140">
        <f>'PAV (incl RV)'!AN175</f>
        <v>44278.04403599463</v>
      </c>
      <c r="M248" s="125">
        <f t="shared" si="23"/>
        <v>7379216.381886829</v>
      </c>
      <c r="N248" s="55"/>
      <c r="O248" s="148">
        <f>'PAV (incl RV)'!O175</f>
        <v>2402342</v>
      </c>
      <c r="P248" s="148">
        <f>'PAV (incl RV)'!AS175</f>
        <v>45100</v>
      </c>
      <c r="Q248" s="137"/>
      <c r="R248" s="148">
        <f>'PAV (incl RV)'!Y175</f>
        <v>2646051.5</v>
      </c>
      <c r="S248" s="137"/>
      <c r="T248" s="137"/>
      <c r="U248" s="149">
        <f>'PAV (incl RV)'!AI175</f>
        <v>1842085.481403543</v>
      </c>
      <c r="V248" s="136"/>
      <c r="W248" s="136"/>
      <c r="X248" s="149">
        <f>'PAV (incl RV)'!AX175</f>
        <v>35347.52542372882</v>
      </c>
    </row>
    <row r="249" spans="2:24" ht="12.75" outlineLevel="1">
      <c r="B249" s="169" t="s">
        <v>350</v>
      </c>
      <c r="C249" s="169"/>
      <c r="D249" s="169"/>
      <c r="E249" s="140">
        <f>'PAV (incl RV)'!E176</f>
        <v>1571</v>
      </c>
      <c r="F249" s="140">
        <f>'PAV (incl RV)'!J176</f>
        <v>8006.8</v>
      </c>
      <c r="G249" s="140">
        <f>'PAV (incl RV)'!T176</f>
        <v>3120.0760476228243</v>
      </c>
      <c r="H249" s="125">
        <f t="shared" si="22"/>
        <v>67046</v>
      </c>
      <c r="I249" s="113">
        <f t="shared" si="24"/>
        <v>113832</v>
      </c>
      <c r="J249" s="140">
        <f>'PAV (incl RV)'!AD176</f>
        <v>1117</v>
      </c>
      <c r="K249" s="113">
        <f t="shared" si="25"/>
        <v>82343.1651842426</v>
      </c>
      <c r="L249" s="140">
        <f>'PAV (incl RV)'!AN176</f>
        <v>4386.882189197968</v>
      </c>
      <c r="M249" s="125">
        <f t="shared" si="23"/>
        <v>281422.9234210634</v>
      </c>
      <c r="N249" s="55"/>
      <c r="O249" s="148">
        <f>'PAV (incl RV)'!O176</f>
        <v>65356</v>
      </c>
      <c r="P249" s="148">
        <f>'PAV (incl RV)'!AS176</f>
        <v>1690</v>
      </c>
      <c r="Q249" s="137"/>
      <c r="R249" s="148">
        <f>'PAV (incl RV)'!Y176</f>
        <v>113832</v>
      </c>
      <c r="S249" s="137"/>
      <c r="T249" s="137"/>
      <c r="U249" s="149">
        <f>'PAV (incl RV)'!AI176</f>
        <v>80468.7245062765</v>
      </c>
      <c r="V249" s="136"/>
      <c r="W249" s="136"/>
      <c r="X249" s="149">
        <f>'PAV (incl RV)'!AX176</f>
        <v>1874.4406779661024</v>
      </c>
    </row>
    <row r="250" spans="2:24" ht="12.75" outlineLevel="1">
      <c r="B250" s="169" t="s">
        <v>341</v>
      </c>
      <c r="C250" s="169"/>
      <c r="D250" s="169"/>
      <c r="E250" s="140">
        <f>'PAV (incl RV)'!E177</f>
        <v>495</v>
      </c>
      <c r="F250" s="140">
        <f>'PAV (incl RV)'!J177</f>
        <v>1737.1666666666665</v>
      </c>
      <c r="G250" s="140">
        <f>'PAV (incl RV)'!T177</f>
        <v>748.458629044287</v>
      </c>
      <c r="H250" s="125">
        <f t="shared" si="22"/>
        <v>33022</v>
      </c>
      <c r="I250" s="113">
        <f t="shared" si="24"/>
        <v>24212.5</v>
      </c>
      <c r="J250" s="140">
        <f>'PAV (incl RV)'!AD177</f>
        <v>227.46666666666664</v>
      </c>
      <c r="K250" s="113">
        <f t="shared" si="25"/>
        <v>11086.047362862922</v>
      </c>
      <c r="L250" s="140">
        <f>'PAV (incl RV)'!AN177</f>
        <v>1159.2673500822793</v>
      </c>
      <c r="M250" s="125">
        <f t="shared" si="23"/>
        <v>72687.90667532283</v>
      </c>
      <c r="N250" s="55"/>
      <c r="O250" s="148">
        <f>'PAV (incl RV)'!O177</f>
        <v>32720</v>
      </c>
      <c r="P250" s="148">
        <f>'PAV (incl RV)'!AS177</f>
        <v>302</v>
      </c>
      <c r="Q250" s="137"/>
      <c r="R250" s="148">
        <f>'PAV (incl RV)'!Y177</f>
        <v>24212.5</v>
      </c>
      <c r="S250" s="137"/>
      <c r="T250" s="137"/>
      <c r="U250" s="149">
        <f>'PAV (incl RV)'!AI177</f>
        <v>10253.915385310629</v>
      </c>
      <c r="V250" s="136"/>
      <c r="W250" s="136"/>
      <c r="X250" s="149">
        <f>'PAV (incl RV)'!AX177</f>
        <v>832.1319775522929</v>
      </c>
    </row>
    <row r="251" spans="2:24" ht="12.75" outlineLevel="1">
      <c r="B251" s="169" t="s">
        <v>343</v>
      </c>
      <c r="C251" s="169"/>
      <c r="D251" s="169"/>
      <c r="E251" s="140">
        <f>'PAV (incl RV)'!E178</f>
        <v>31</v>
      </c>
      <c r="F251" s="140">
        <f>'PAV (incl RV)'!J178</f>
        <v>320.3333333333333</v>
      </c>
      <c r="G251" s="140">
        <f>'PAV (incl RV)'!T178</f>
        <v>586.4032998067258</v>
      </c>
      <c r="H251" s="125">
        <f t="shared" si="22"/>
        <v>9104</v>
      </c>
      <c r="I251" s="113">
        <f t="shared" si="24"/>
        <v>1834</v>
      </c>
      <c r="J251" s="140">
        <f>'PAV (incl RV)'!AD178</f>
        <v>20</v>
      </c>
      <c r="K251" s="113">
        <f t="shared" si="25"/>
        <v>3648.144984340424</v>
      </c>
      <c r="L251" s="140">
        <f>'PAV (incl RV)'!AN178</f>
        <v>214.41710624366016</v>
      </c>
      <c r="M251" s="125">
        <f t="shared" si="23"/>
        <v>15758.298723724143</v>
      </c>
      <c r="N251" s="55"/>
      <c r="O251" s="148">
        <f>'PAV (incl RV)'!O178</f>
        <v>9046</v>
      </c>
      <c r="P251" s="148">
        <f>'PAV (incl RV)'!AS178</f>
        <v>58</v>
      </c>
      <c r="Q251" s="137"/>
      <c r="R251" s="148">
        <f>'PAV (incl RV)'!Y178</f>
        <v>1834</v>
      </c>
      <c r="S251" s="137"/>
      <c r="T251" s="137"/>
      <c r="U251" s="149">
        <f>'PAV (incl RV)'!AI178</f>
        <v>3621.899007905227</v>
      </c>
      <c r="V251" s="136"/>
      <c r="W251" s="136"/>
      <c r="X251" s="149">
        <f>'PAV (incl RV)'!AX178</f>
        <v>26.24597643519679</v>
      </c>
    </row>
    <row r="252" spans="2:24" ht="12.75" outlineLevel="1">
      <c r="B252" s="169" t="s">
        <v>345</v>
      </c>
      <c r="C252" s="169"/>
      <c r="D252" s="169"/>
      <c r="E252" s="140">
        <f>'PAV (incl RV)'!E179</f>
        <v>0</v>
      </c>
      <c r="F252" s="140">
        <f>'PAV (incl RV)'!J179</f>
        <v>10</v>
      </c>
      <c r="G252" s="140">
        <f>'PAV (incl RV)'!T179</f>
        <v>4.686358924402846</v>
      </c>
      <c r="H252" s="125">
        <f t="shared" si="22"/>
        <v>178.0600243711774</v>
      </c>
      <c r="I252" s="113">
        <f t="shared" si="24"/>
        <v>178.5</v>
      </c>
      <c r="J252" s="140">
        <f>'PAV (incl RV)'!AD179</f>
        <v>0</v>
      </c>
      <c r="K252" s="113">
        <f t="shared" si="25"/>
        <v>136.03360574492208</v>
      </c>
      <c r="L252" s="140">
        <f>'PAV (incl RV)'!AN179</f>
        <v>17.442821855633813</v>
      </c>
      <c r="M252" s="125">
        <f t="shared" si="23"/>
        <v>524.7228108961361</v>
      </c>
      <c r="N252" s="55"/>
      <c r="O252" s="148">
        <f>'PAV (incl RV)'!O179</f>
        <v>154.79244723410102</v>
      </c>
      <c r="P252" s="148">
        <f>'PAV (incl RV)'!AS179</f>
        <v>23.26757713707638</v>
      </c>
      <c r="Q252" s="137"/>
      <c r="R252" s="148">
        <f>'PAV (incl RV)'!Y179</f>
        <v>178.5</v>
      </c>
      <c r="S252" s="137"/>
      <c r="T252" s="137"/>
      <c r="U252" s="149">
        <f>'PAV (incl RV)'!AI179</f>
        <v>133.86693907825543</v>
      </c>
      <c r="V252" s="136"/>
      <c r="W252" s="136"/>
      <c r="X252" s="149">
        <f>'PAV (incl RV)'!AX179</f>
        <v>2.166666666666667</v>
      </c>
    </row>
    <row r="253" spans="2:24" s="44" customFormat="1" ht="12.75" outlineLevel="1">
      <c r="B253" s="170"/>
      <c r="C253" s="170"/>
      <c r="D253" s="170"/>
      <c r="E253" s="47"/>
      <c r="F253" s="47"/>
      <c r="G253" s="47"/>
      <c r="H253" s="47"/>
      <c r="I253" s="47"/>
      <c r="J253" s="47"/>
      <c r="K253" s="47"/>
      <c r="L253" s="47"/>
      <c r="M253" s="55"/>
      <c r="N253" s="47"/>
      <c r="O253" s="137"/>
      <c r="P253" s="137"/>
      <c r="Q253" s="133"/>
      <c r="R253" s="133"/>
      <c r="S253" s="133"/>
      <c r="T253" s="133"/>
      <c r="U253" s="133"/>
      <c r="V253" s="133"/>
      <c r="W253" s="133"/>
      <c r="X253" s="133"/>
    </row>
    <row r="254" spans="2:24" ht="12.75" outlineLevel="1">
      <c r="B254" s="170" t="s">
        <v>230</v>
      </c>
      <c r="C254" s="170"/>
      <c r="D254" s="170"/>
      <c r="E254" s="140">
        <f>'PAV (incl RV)'!E183</f>
        <v>0</v>
      </c>
      <c r="F254" s="140">
        <f>'PAV (incl RV)'!J183</f>
        <v>104124</v>
      </c>
      <c r="G254" s="140">
        <f>'PAV (incl RV)'!T183</f>
        <v>1932.3973414864056</v>
      </c>
      <c r="H254" s="125">
        <f t="shared" si="22"/>
        <v>15114</v>
      </c>
      <c r="I254" s="113">
        <f t="shared" si="24"/>
        <v>648701.865</v>
      </c>
      <c r="J254" s="140">
        <f>'PAV (incl RV)'!AD183</f>
        <v>5615</v>
      </c>
      <c r="K254" s="113">
        <f t="shared" si="25"/>
        <v>215750.65627356584</v>
      </c>
      <c r="L254" s="140">
        <f>'PAV (incl RV)'!AN183</f>
        <v>2302.2927050294516</v>
      </c>
      <c r="M254" s="125">
        <f t="shared" si="23"/>
        <v>993540.2113200817</v>
      </c>
      <c r="N254" s="55"/>
      <c r="O254" s="148">
        <f>'PAV (incl RV)'!O183</f>
        <v>0</v>
      </c>
      <c r="P254" s="148">
        <f>'PAV (incl RV)'!AS183</f>
        <v>15114</v>
      </c>
      <c r="Q254" s="137"/>
      <c r="R254" s="148">
        <f>'PAV (incl RV)'!Y183</f>
        <v>648701.865</v>
      </c>
      <c r="S254" s="137"/>
      <c r="T254" s="137"/>
      <c r="U254" s="149">
        <f>'PAV (incl RV)'!AI183</f>
        <v>215750.65627356584</v>
      </c>
      <c r="V254" s="136"/>
      <c r="W254" s="136"/>
      <c r="X254" s="149">
        <f>'PAV (incl RV)'!AX183</f>
        <v>0</v>
      </c>
    </row>
    <row r="255" spans="2:24" ht="12.75" outlineLevel="1">
      <c r="B255" s="170" t="s">
        <v>247</v>
      </c>
      <c r="C255" s="170"/>
      <c r="D255" s="170"/>
      <c r="E255" s="55"/>
      <c r="F255" s="55"/>
      <c r="G255" s="55"/>
      <c r="H255" s="55"/>
      <c r="I255" s="55"/>
      <c r="J255" s="55"/>
      <c r="K255" s="55"/>
      <c r="L255" s="55"/>
      <c r="M255" s="55"/>
      <c r="N255" s="55"/>
      <c r="O255" s="137"/>
      <c r="P255" s="137"/>
      <c r="Q255" s="137"/>
      <c r="R255" s="137"/>
      <c r="S255" s="137"/>
      <c r="T255" s="137"/>
      <c r="U255" s="137"/>
      <c r="V255" s="137"/>
      <c r="W255" s="137"/>
      <c r="X255" s="137"/>
    </row>
    <row r="256" spans="2:24" ht="12.75">
      <c r="B256" s="170"/>
      <c r="C256" s="170"/>
      <c r="D256" s="170"/>
      <c r="E256" s="66"/>
      <c r="F256" s="66"/>
      <c r="G256" s="66"/>
      <c r="H256" s="66"/>
      <c r="I256" s="66"/>
      <c r="J256" s="66"/>
      <c r="K256" s="66"/>
      <c r="L256" s="66"/>
      <c r="M256" s="66"/>
      <c r="N256" s="66"/>
      <c r="O256" s="66"/>
      <c r="P256" s="66"/>
      <c r="Q256" s="66"/>
      <c r="R256" s="66"/>
      <c r="S256" s="66"/>
      <c r="T256" s="66"/>
      <c r="U256" s="66"/>
      <c r="V256" s="66"/>
      <c r="W256" s="66"/>
      <c r="X256" s="66"/>
    </row>
    <row r="257" spans="2:24" s="42" customFormat="1" ht="12.75">
      <c r="B257" s="78" t="s">
        <v>488</v>
      </c>
      <c r="C257" s="78"/>
      <c r="D257" s="78"/>
      <c r="E257" s="204"/>
      <c r="F257" s="204"/>
      <c r="G257" s="204"/>
      <c r="H257" s="204"/>
      <c r="I257" s="204"/>
      <c r="J257" s="204"/>
      <c r="K257" s="204"/>
      <c r="L257" s="204"/>
      <c r="M257" s="204"/>
      <c r="N257" s="204"/>
      <c r="O257" s="204"/>
      <c r="P257" s="204"/>
      <c r="Q257" s="204"/>
      <c r="R257" s="204"/>
      <c r="S257" s="204"/>
      <c r="T257" s="204"/>
      <c r="U257" s="204"/>
      <c r="V257" s="204"/>
      <c r="W257" s="204"/>
      <c r="X257" s="204"/>
    </row>
    <row r="258" spans="5:24" ht="12.75">
      <c r="E258" s="47"/>
      <c r="F258" s="47"/>
      <c r="G258" s="47"/>
      <c r="H258" s="47"/>
      <c r="I258" s="47"/>
      <c r="J258" s="47"/>
      <c r="K258" s="47"/>
      <c r="L258" s="47"/>
      <c r="M258" s="47"/>
      <c r="N258" s="47"/>
      <c r="O258" s="281"/>
      <c r="P258" s="281"/>
      <c r="Q258" s="281"/>
      <c r="R258" s="281"/>
      <c r="S258" s="281"/>
      <c r="T258" s="281"/>
      <c r="U258" s="281"/>
      <c r="V258" s="281"/>
      <c r="W258" s="281"/>
      <c r="X258" s="281"/>
    </row>
    <row r="259" spans="2:24" ht="12.75">
      <c r="B259" s="279" t="s">
        <v>504</v>
      </c>
      <c r="E259" s="47"/>
      <c r="F259" s="47"/>
      <c r="G259" s="47"/>
      <c r="H259" s="47"/>
      <c r="I259" s="47"/>
      <c r="J259" s="47"/>
      <c r="K259" s="47"/>
      <c r="L259" s="47"/>
      <c r="M259" s="47"/>
      <c r="N259" s="47"/>
      <c r="O259" s="281"/>
      <c r="P259" s="281"/>
      <c r="Q259" s="281"/>
      <c r="R259" s="281"/>
      <c r="S259" s="281"/>
      <c r="T259" s="281"/>
      <c r="U259" s="281"/>
      <c r="V259" s="281"/>
      <c r="W259" s="281"/>
      <c r="X259" s="281"/>
    </row>
    <row r="260" spans="5:24" ht="12.75">
      <c r="E260" s="47"/>
      <c r="F260" s="47"/>
      <c r="G260" s="47"/>
      <c r="H260" s="47"/>
      <c r="I260" s="47"/>
      <c r="J260" s="47"/>
      <c r="K260" s="47"/>
      <c r="L260" s="47"/>
      <c r="M260" s="47"/>
      <c r="N260" s="47"/>
      <c r="O260" s="281"/>
      <c r="P260" s="281"/>
      <c r="Q260" s="281"/>
      <c r="R260" s="281"/>
      <c r="S260" s="281"/>
      <c r="T260" s="281"/>
      <c r="U260" s="281"/>
      <c r="V260" s="281"/>
      <c r="W260" s="281"/>
      <c r="X260" s="281"/>
    </row>
    <row r="261" spans="2:24" ht="12.75" outlineLevel="1">
      <c r="B261" s="172" t="s">
        <v>198</v>
      </c>
      <c r="C261" s="170"/>
      <c r="D261" s="170"/>
      <c r="E261" s="65"/>
      <c r="F261" s="65"/>
      <c r="G261" s="65"/>
      <c r="H261" s="65"/>
      <c r="I261" s="65"/>
      <c r="J261" s="65"/>
      <c r="K261" s="65"/>
      <c r="L261" s="65"/>
      <c r="M261" s="65"/>
      <c r="N261" s="65"/>
      <c r="O261" s="282"/>
      <c r="P261" s="282"/>
      <c r="Q261" s="282"/>
      <c r="R261" s="282"/>
      <c r="S261" s="282"/>
      <c r="T261" s="282"/>
      <c r="U261" s="282"/>
      <c r="V261" s="282"/>
      <c r="W261" s="282"/>
      <c r="X261" s="282"/>
    </row>
    <row r="262" spans="2:24" ht="12.75" outlineLevel="1">
      <c r="B262" s="170" t="s">
        <v>199</v>
      </c>
      <c r="C262" s="170"/>
      <c r="D262" s="170"/>
      <c r="E262" s="45">
        <v>0</v>
      </c>
      <c r="F262" s="45">
        <v>0</v>
      </c>
      <c r="G262" s="46">
        <v>0</v>
      </c>
      <c r="H262" s="46">
        <v>0</v>
      </c>
      <c r="I262" s="45">
        <v>7</v>
      </c>
      <c r="J262" s="45">
        <v>0</v>
      </c>
      <c r="K262" s="46">
        <v>2</v>
      </c>
      <c r="L262" s="46">
        <v>0</v>
      </c>
      <c r="M262" s="125">
        <f>SUM(E262:L262)</f>
        <v>9</v>
      </c>
      <c r="N262" s="47"/>
      <c r="O262" s="281"/>
      <c r="P262" s="281"/>
      <c r="Q262" s="281"/>
      <c r="R262" s="281"/>
      <c r="S262" s="281"/>
      <c r="T262" s="281"/>
      <c r="U262" s="281"/>
      <c r="V262" s="281"/>
      <c r="W262" s="281"/>
      <c r="X262" s="281"/>
    </row>
    <row r="263" spans="2:24" ht="12.75" outlineLevel="1">
      <c r="B263" s="170" t="s">
        <v>200</v>
      </c>
      <c r="C263" s="170"/>
      <c r="D263" s="170"/>
      <c r="E263" s="45">
        <v>0</v>
      </c>
      <c r="F263" s="45">
        <v>0</v>
      </c>
      <c r="G263" s="46">
        <v>0</v>
      </c>
      <c r="H263" s="46">
        <v>0</v>
      </c>
      <c r="I263" s="45">
        <v>5025</v>
      </c>
      <c r="J263" s="45">
        <v>0</v>
      </c>
      <c r="K263" s="46">
        <v>260533.12297734627</v>
      </c>
      <c r="L263" s="46">
        <v>0</v>
      </c>
      <c r="M263" s="125">
        <f>SUM(E263:L263)</f>
        <v>265558.1229773463</v>
      </c>
      <c r="N263" s="47"/>
      <c r="O263" s="281"/>
      <c r="P263" s="281"/>
      <c r="Q263" s="281"/>
      <c r="R263" s="281"/>
      <c r="S263" s="281"/>
      <c r="T263" s="281"/>
      <c r="U263" s="281"/>
      <c r="V263" s="281"/>
      <c r="W263" s="281"/>
      <c r="X263" s="281"/>
    </row>
    <row r="264" spans="2:24" ht="12.75" outlineLevel="1">
      <c r="B264" s="170" t="s">
        <v>201</v>
      </c>
      <c r="C264" s="170"/>
      <c r="D264" s="170"/>
      <c r="E264" s="45">
        <v>0</v>
      </c>
      <c r="F264" s="45">
        <v>0</v>
      </c>
      <c r="G264" s="46">
        <v>0</v>
      </c>
      <c r="H264" s="46">
        <v>0</v>
      </c>
      <c r="I264" s="45">
        <v>34512</v>
      </c>
      <c r="J264" s="45">
        <v>0</v>
      </c>
      <c r="K264" s="46">
        <v>2849970.710526316</v>
      </c>
      <c r="L264" s="46">
        <v>0</v>
      </c>
      <c r="M264" s="125">
        <f>SUM(E264:L264)</f>
        <v>2884482.710526316</v>
      </c>
      <c r="N264" s="47"/>
      <c r="O264" s="281"/>
      <c r="P264" s="281"/>
      <c r="Q264" s="281"/>
      <c r="R264" s="281"/>
      <c r="S264" s="281"/>
      <c r="T264" s="281"/>
      <c r="U264" s="281"/>
      <c r="V264" s="281"/>
      <c r="W264" s="281"/>
      <c r="X264" s="281"/>
    </row>
    <row r="265" spans="2:24" ht="12.75" outlineLevel="1">
      <c r="B265" s="170" t="s">
        <v>203</v>
      </c>
      <c r="C265" s="170"/>
      <c r="D265" s="170"/>
      <c r="E265" s="45">
        <v>0</v>
      </c>
      <c r="F265" s="45">
        <v>0</v>
      </c>
      <c r="G265" s="46">
        <v>0</v>
      </c>
      <c r="H265" s="46">
        <v>0</v>
      </c>
      <c r="I265" s="45">
        <v>0</v>
      </c>
      <c r="J265" s="45">
        <v>0</v>
      </c>
      <c r="K265" s="46">
        <v>0</v>
      </c>
      <c r="L265" s="46">
        <v>0</v>
      </c>
      <c r="M265" s="125">
        <f>SUM(E265:L265)</f>
        <v>0</v>
      </c>
      <c r="N265" s="47"/>
      <c r="O265" s="281"/>
      <c r="P265" s="281"/>
      <c r="Q265" s="281"/>
      <c r="R265" s="281"/>
      <c r="S265" s="281"/>
      <c r="T265" s="281"/>
      <c r="U265" s="281"/>
      <c r="V265" s="281"/>
      <c r="W265" s="281"/>
      <c r="X265" s="281"/>
    </row>
    <row r="266" spans="2:24" ht="12.75" outlineLevel="1">
      <c r="B266" s="170" t="s">
        <v>247</v>
      </c>
      <c r="C266" s="170"/>
      <c r="D266" s="170"/>
      <c r="E266" s="48"/>
      <c r="F266" s="48"/>
      <c r="G266" s="49"/>
      <c r="H266" s="49"/>
      <c r="I266" s="48"/>
      <c r="J266" s="48"/>
      <c r="K266" s="49"/>
      <c r="L266" s="49"/>
      <c r="M266" s="47"/>
      <c r="N266" s="47"/>
      <c r="O266" s="281"/>
      <c r="P266" s="281"/>
      <c r="Q266" s="281"/>
      <c r="R266" s="281"/>
      <c r="S266" s="281"/>
      <c r="T266" s="281"/>
      <c r="U266" s="281"/>
      <c r="V266" s="281"/>
      <c r="W266" s="281"/>
      <c r="X266" s="281"/>
    </row>
    <row r="267" spans="2:24" ht="12.75" outlineLevel="1">
      <c r="B267" s="172" t="s">
        <v>204</v>
      </c>
      <c r="C267" s="170"/>
      <c r="D267" s="170"/>
      <c r="E267" s="48"/>
      <c r="F267" s="48"/>
      <c r="G267" s="49"/>
      <c r="H267" s="49"/>
      <c r="I267" s="48"/>
      <c r="J267" s="48"/>
      <c r="K267" s="49"/>
      <c r="L267" s="49"/>
      <c r="M267" s="47"/>
      <c r="N267" s="47"/>
      <c r="O267" s="281"/>
      <c r="P267" s="281"/>
      <c r="Q267" s="281"/>
      <c r="R267" s="281"/>
      <c r="S267" s="281"/>
      <c r="T267" s="281"/>
      <c r="U267" s="281"/>
      <c r="V267" s="281"/>
      <c r="W267" s="281"/>
      <c r="X267" s="281"/>
    </row>
    <row r="268" spans="2:24" ht="12.75" outlineLevel="1">
      <c r="B268" s="170" t="s">
        <v>199</v>
      </c>
      <c r="C268" s="170"/>
      <c r="D268" s="170"/>
      <c r="E268" s="50">
        <v>0</v>
      </c>
      <c r="F268" s="50">
        <v>0</v>
      </c>
      <c r="G268" s="46">
        <v>0</v>
      </c>
      <c r="H268" s="46">
        <v>0</v>
      </c>
      <c r="I268" s="50">
        <v>0</v>
      </c>
      <c r="J268" s="50">
        <v>0</v>
      </c>
      <c r="K268" s="46">
        <v>5.81818115942029</v>
      </c>
      <c r="L268" s="46">
        <v>0</v>
      </c>
      <c r="M268" s="125">
        <f>SUM(E268:L268)</f>
        <v>5.81818115942029</v>
      </c>
      <c r="N268" s="47"/>
      <c r="O268" s="281"/>
      <c r="P268" s="281"/>
      <c r="Q268" s="281"/>
      <c r="R268" s="281"/>
      <c r="S268" s="281"/>
      <c r="T268" s="281"/>
      <c r="U268" s="281"/>
      <c r="V268" s="281"/>
      <c r="W268" s="281"/>
      <c r="X268" s="281"/>
    </row>
    <row r="269" spans="2:24" ht="12.75" outlineLevel="1">
      <c r="B269" s="170" t="s">
        <v>200</v>
      </c>
      <c r="C269" s="170"/>
      <c r="D269" s="170"/>
      <c r="E269" s="50">
        <v>0</v>
      </c>
      <c r="F269" s="50">
        <v>0</v>
      </c>
      <c r="G269" s="46">
        <v>0</v>
      </c>
      <c r="H269" s="46">
        <v>0</v>
      </c>
      <c r="I269" s="50">
        <v>0</v>
      </c>
      <c r="J269" s="50">
        <v>0</v>
      </c>
      <c r="K269" s="46">
        <v>25462.72653721683</v>
      </c>
      <c r="L269" s="46">
        <v>0</v>
      </c>
      <c r="M269" s="125">
        <f>SUM(E269:L269)</f>
        <v>25462.72653721683</v>
      </c>
      <c r="N269" s="47"/>
      <c r="O269" s="281"/>
      <c r="P269" s="281"/>
      <c r="Q269" s="281"/>
      <c r="R269" s="281"/>
      <c r="S269" s="281"/>
      <c r="T269" s="281"/>
      <c r="U269" s="281"/>
      <c r="V269" s="281"/>
      <c r="W269" s="281"/>
      <c r="X269" s="281"/>
    </row>
    <row r="270" spans="2:24" ht="12.75" outlineLevel="1">
      <c r="B270" s="170" t="s">
        <v>205</v>
      </c>
      <c r="C270" s="170"/>
      <c r="D270" s="170"/>
      <c r="E270" s="50">
        <v>0</v>
      </c>
      <c r="F270" s="50">
        <v>0</v>
      </c>
      <c r="G270" s="46">
        <v>0</v>
      </c>
      <c r="H270" s="46">
        <v>0</v>
      </c>
      <c r="I270" s="50">
        <v>0</v>
      </c>
      <c r="J270" s="50">
        <v>0</v>
      </c>
      <c r="K270" s="46">
        <v>121301.35897435897</v>
      </c>
      <c r="L270" s="46">
        <v>0</v>
      </c>
      <c r="M270" s="125">
        <f>SUM(E270:L270)</f>
        <v>121301.35897435897</v>
      </c>
      <c r="N270" s="47"/>
      <c r="O270" s="281"/>
      <c r="P270" s="281"/>
      <c r="Q270" s="281"/>
      <c r="R270" s="281"/>
      <c r="S270" s="281"/>
      <c r="T270" s="281"/>
      <c r="U270" s="281"/>
      <c r="V270" s="281"/>
      <c r="W270" s="281"/>
      <c r="X270" s="281"/>
    </row>
    <row r="271" spans="2:24" ht="12.75" outlineLevel="1">
      <c r="B271" s="170" t="s">
        <v>203</v>
      </c>
      <c r="C271" s="170"/>
      <c r="D271" s="170"/>
      <c r="E271" s="50">
        <v>0</v>
      </c>
      <c r="F271" s="50">
        <v>0</v>
      </c>
      <c r="G271" s="46">
        <v>0</v>
      </c>
      <c r="H271" s="46">
        <v>0</v>
      </c>
      <c r="I271" s="50">
        <v>0</v>
      </c>
      <c r="J271" s="50">
        <v>0</v>
      </c>
      <c r="K271" s="46">
        <v>3338843.3333333335</v>
      </c>
      <c r="L271" s="46">
        <v>0</v>
      </c>
      <c r="M271" s="125">
        <f>SUM(E271:L271)</f>
        <v>3338843.3333333335</v>
      </c>
      <c r="N271" s="47"/>
      <c r="O271" s="281"/>
      <c r="P271" s="281"/>
      <c r="Q271" s="281"/>
      <c r="R271" s="281"/>
      <c r="S271" s="281"/>
      <c r="T271" s="281"/>
      <c r="U271" s="281"/>
      <c r="V271" s="281"/>
      <c r="W271" s="281"/>
      <c r="X271" s="281"/>
    </row>
    <row r="272" spans="2:24" ht="12.75" outlineLevel="1">
      <c r="B272" s="170" t="s">
        <v>247</v>
      </c>
      <c r="C272" s="170"/>
      <c r="D272" s="170"/>
      <c r="E272" s="48"/>
      <c r="F272" s="48"/>
      <c r="G272" s="49"/>
      <c r="H272" s="49"/>
      <c r="I272" s="48"/>
      <c r="J272" s="48"/>
      <c r="K272" s="49"/>
      <c r="L272" s="49"/>
      <c r="M272" s="47"/>
      <c r="N272" s="47"/>
      <c r="O272" s="281"/>
      <c r="P272" s="281"/>
      <c r="Q272" s="281"/>
      <c r="R272" s="281"/>
      <c r="S272" s="281"/>
      <c r="T272" s="281"/>
      <c r="U272" s="281"/>
      <c r="V272" s="281"/>
      <c r="W272" s="281"/>
      <c r="X272" s="281"/>
    </row>
    <row r="273" spans="2:24" ht="12.75" outlineLevel="1">
      <c r="B273" s="172" t="s">
        <v>206</v>
      </c>
      <c r="C273" s="170"/>
      <c r="D273" s="170"/>
      <c r="E273" s="48"/>
      <c r="F273" s="48"/>
      <c r="G273" s="49"/>
      <c r="H273" s="49"/>
      <c r="I273" s="48"/>
      <c r="J273" s="48"/>
      <c r="K273" s="49"/>
      <c r="L273" s="49"/>
      <c r="M273" s="47"/>
      <c r="N273" s="47"/>
      <c r="O273" s="281"/>
      <c r="P273" s="281"/>
      <c r="Q273" s="281"/>
      <c r="R273" s="281"/>
      <c r="S273" s="281"/>
      <c r="T273" s="281"/>
      <c r="U273" s="281"/>
      <c r="V273" s="281"/>
      <c r="W273" s="281"/>
      <c r="X273" s="281"/>
    </row>
    <row r="274" spans="2:24" ht="12.75" outlineLevel="1">
      <c r="B274" s="170" t="s">
        <v>199</v>
      </c>
      <c r="C274" s="170"/>
      <c r="D274" s="170"/>
      <c r="E274" s="50">
        <v>0</v>
      </c>
      <c r="F274" s="50">
        <v>1</v>
      </c>
      <c r="G274" s="46">
        <v>0</v>
      </c>
      <c r="H274" s="46">
        <v>0</v>
      </c>
      <c r="I274" s="50">
        <v>17.819020751587015</v>
      </c>
      <c r="J274" s="50">
        <v>0</v>
      </c>
      <c r="K274" s="46">
        <v>64.36294565217392</v>
      </c>
      <c r="L274" s="46">
        <v>0</v>
      </c>
      <c r="M274" s="125">
        <f>SUM(E274:L274)</f>
        <v>83.18196640376094</v>
      </c>
      <c r="N274" s="47"/>
      <c r="O274" s="281"/>
      <c r="P274" s="281"/>
      <c r="Q274" s="281"/>
      <c r="R274" s="281"/>
      <c r="S274" s="281"/>
      <c r="T274" s="281"/>
      <c r="U274" s="281"/>
      <c r="V274" s="281"/>
      <c r="W274" s="281"/>
      <c r="X274" s="281"/>
    </row>
    <row r="275" spans="2:24" ht="12.75" outlineLevel="1">
      <c r="B275" s="170" t="s">
        <v>200</v>
      </c>
      <c r="C275" s="170"/>
      <c r="D275" s="170"/>
      <c r="E275" s="50">
        <v>0</v>
      </c>
      <c r="F275" s="50">
        <v>22000</v>
      </c>
      <c r="G275" s="46">
        <v>0</v>
      </c>
      <c r="H275" s="46">
        <v>0</v>
      </c>
      <c r="I275" s="50">
        <v>68986.69569943834</v>
      </c>
      <c r="J275" s="50">
        <v>0</v>
      </c>
      <c r="K275" s="46">
        <v>599903.0410958905</v>
      </c>
      <c r="L275" s="46">
        <v>0</v>
      </c>
      <c r="M275" s="125">
        <f>SUM(E275:L275)</f>
        <v>690889.7367953288</v>
      </c>
      <c r="N275" s="47"/>
      <c r="O275" s="281"/>
      <c r="P275" s="281"/>
      <c r="Q275" s="281"/>
      <c r="R275" s="281"/>
      <c r="S275" s="281"/>
      <c r="T275" s="281"/>
      <c r="U275" s="281"/>
      <c r="V275" s="281"/>
      <c r="W275" s="281"/>
      <c r="X275" s="281"/>
    </row>
    <row r="276" spans="2:24" ht="12.75" outlineLevel="1">
      <c r="B276" s="170" t="s">
        <v>201</v>
      </c>
      <c r="C276" s="170"/>
      <c r="D276" s="170"/>
      <c r="E276" s="50">
        <v>0</v>
      </c>
      <c r="F276" s="50">
        <v>0</v>
      </c>
      <c r="G276" s="46">
        <v>0</v>
      </c>
      <c r="H276" s="46">
        <v>0</v>
      </c>
      <c r="I276" s="50">
        <v>962587.2365013063</v>
      </c>
      <c r="J276" s="50">
        <v>0</v>
      </c>
      <c r="K276" s="46">
        <v>4989626.717948718</v>
      </c>
      <c r="L276" s="46">
        <v>0</v>
      </c>
      <c r="M276" s="125">
        <f>SUM(E276:L276)</f>
        <v>5952213.954450024</v>
      </c>
      <c r="N276" s="47"/>
      <c r="O276" s="281"/>
      <c r="P276" s="281"/>
      <c r="Q276" s="281"/>
      <c r="R276" s="281"/>
      <c r="S276" s="281"/>
      <c r="T276" s="281"/>
      <c r="U276" s="281"/>
      <c r="V276" s="281"/>
      <c r="W276" s="281"/>
      <c r="X276" s="281"/>
    </row>
    <row r="277" spans="2:24" ht="12.75" outlineLevel="1">
      <c r="B277" s="170" t="s">
        <v>203</v>
      </c>
      <c r="C277" s="170"/>
      <c r="D277" s="170"/>
      <c r="E277" s="50">
        <v>0</v>
      </c>
      <c r="F277" s="50">
        <v>0</v>
      </c>
      <c r="G277" s="46">
        <v>0</v>
      </c>
      <c r="H277" s="46">
        <v>0</v>
      </c>
      <c r="I277" s="50">
        <v>0</v>
      </c>
      <c r="J277" s="50">
        <v>0</v>
      </c>
      <c r="K277" s="46">
        <v>-272001303.3333333</v>
      </c>
      <c r="L277" s="46">
        <v>0</v>
      </c>
      <c r="M277" s="125">
        <f>SUM(E277:L277)</f>
        <v>-272001303.3333333</v>
      </c>
      <c r="N277" s="47"/>
      <c r="O277" s="281"/>
      <c r="P277" s="281"/>
      <c r="Q277" s="281"/>
      <c r="R277" s="281"/>
      <c r="S277" s="281"/>
      <c r="T277" s="281"/>
      <c r="U277" s="281"/>
      <c r="V277" s="281"/>
      <c r="W277" s="281"/>
      <c r="X277" s="281"/>
    </row>
    <row r="278" spans="2:24" ht="12.75" outlineLevel="1">
      <c r="B278" s="170" t="s">
        <v>247</v>
      </c>
      <c r="C278" s="170"/>
      <c r="D278" s="170"/>
      <c r="E278" s="48"/>
      <c r="F278" s="48"/>
      <c r="G278" s="49"/>
      <c r="H278" s="49"/>
      <c r="I278" s="48"/>
      <c r="J278" s="48"/>
      <c r="K278" s="49"/>
      <c r="L278" s="49"/>
      <c r="M278" s="47"/>
      <c r="N278" s="47"/>
      <c r="O278" s="281"/>
      <c r="P278" s="281"/>
      <c r="Q278" s="281"/>
      <c r="R278" s="281"/>
      <c r="S278" s="281"/>
      <c r="T278" s="281"/>
      <c r="U278" s="281"/>
      <c r="V278" s="281"/>
      <c r="W278" s="281"/>
      <c r="X278" s="281"/>
    </row>
    <row r="279" spans="2:24" ht="12.75" outlineLevel="1">
      <c r="B279" s="172" t="s">
        <v>207</v>
      </c>
      <c r="C279" s="170"/>
      <c r="D279" s="170"/>
      <c r="E279" s="48"/>
      <c r="F279" s="48"/>
      <c r="G279" s="49"/>
      <c r="H279" s="49"/>
      <c r="I279" s="48"/>
      <c r="J279" s="48"/>
      <c r="K279" s="49"/>
      <c r="L279" s="49"/>
      <c r="M279" s="47"/>
      <c r="N279" s="47"/>
      <c r="O279" s="281"/>
      <c r="P279" s="281"/>
      <c r="Q279" s="281"/>
      <c r="R279" s="281"/>
      <c r="S279" s="281"/>
      <c r="T279" s="281"/>
      <c r="U279" s="281"/>
      <c r="V279" s="281"/>
      <c r="W279" s="281"/>
      <c r="X279" s="281"/>
    </row>
    <row r="280" spans="2:24" ht="12.75" outlineLevel="1">
      <c r="B280" s="170" t="s">
        <v>199</v>
      </c>
      <c r="C280" s="170"/>
      <c r="D280" s="170"/>
      <c r="E280" s="50">
        <v>0</v>
      </c>
      <c r="F280" s="50">
        <v>0</v>
      </c>
      <c r="G280" s="46">
        <v>0</v>
      </c>
      <c r="H280" s="46">
        <v>0</v>
      </c>
      <c r="I280" s="50">
        <v>13.333333333333334</v>
      </c>
      <c r="J280" s="50">
        <v>0</v>
      </c>
      <c r="K280" s="46">
        <v>8.084090579710145</v>
      </c>
      <c r="L280" s="46">
        <v>0</v>
      </c>
      <c r="M280" s="125">
        <f>SUM(E280:L280)</f>
        <v>21.41742391304348</v>
      </c>
      <c r="N280" s="47"/>
      <c r="O280" s="281"/>
      <c r="P280" s="281"/>
      <c r="Q280" s="281"/>
      <c r="R280" s="281"/>
      <c r="S280" s="281"/>
      <c r="T280" s="281"/>
      <c r="U280" s="281"/>
      <c r="V280" s="281"/>
      <c r="W280" s="281"/>
      <c r="X280" s="281"/>
    </row>
    <row r="281" spans="2:24" ht="12.75" outlineLevel="1">
      <c r="B281" s="170" t="s">
        <v>200</v>
      </c>
      <c r="C281" s="170"/>
      <c r="D281" s="170"/>
      <c r="E281" s="50">
        <v>0</v>
      </c>
      <c r="F281" s="50">
        <v>0</v>
      </c>
      <c r="G281" s="46">
        <v>0</v>
      </c>
      <c r="H281" s="46">
        <v>0</v>
      </c>
      <c r="I281" s="50">
        <v>54842.95267489712</v>
      </c>
      <c r="J281" s="50">
        <v>0</v>
      </c>
      <c r="K281" s="46">
        <v>213457.95091324198</v>
      </c>
      <c r="L281" s="46">
        <v>0</v>
      </c>
      <c r="M281" s="125">
        <f>SUM(E281:L281)</f>
        <v>268300.9035881391</v>
      </c>
      <c r="N281" s="47"/>
      <c r="O281" s="281"/>
      <c r="P281" s="281"/>
      <c r="Q281" s="281"/>
      <c r="R281" s="281"/>
      <c r="S281" s="281"/>
      <c r="T281" s="281"/>
      <c r="U281" s="281"/>
      <c r="V281" s="281"/>
      <c r="W281" s="281"/>
      <c r="X281" s="281"/>
    </row>
    <row r="282" spans="2:24" ht="12.75" outlineLevel="1">
      <c r="B282" s="170" t="s">
        <v>205</v>
      </c>
      <c r="C282" s="170"/>
      <c r="D282" s="170"/>
      <c r="E282" s="50">
        <v>0</v>
      </c>
      <c r="F282" s="50">
        <v>0</v>
      </c>
      <c r="G282" s="46">
        <v>0</v>
      </c>
      <c r="H282" s="46">
        <v>0</v>
      </c>
      <c r="I282" s="50">
        <v>987181.0476190477</v>
      </c>
      <c r="J282" s="50">
        <v>0</v>
      </c>
      <c r="K282" s="46">
        <v>1867413.176470588</v>
      </c>
      <c r="L282" s="46">
        <v>0</v>
      </c>
      <c r="M282" s="125">
        <f>SUM(E282:L282)</f>
        <v>2854594.2240896355</v>
      </c>
      <c r="N282" s="47"/>
      <c r="O282" s="281"/>
      <c r="P282" s="281"/>
      <c r="Q282" s="281"/>
      <c r="R282" s="281"/>
      <c r="S282" s="281"/>
      <c r="T282" s="281"/>
      <c r="U282" s="281"/>
      <c r="V282" s="281"/>
      <c r="W282" s="281"/>
      <c r="X282" s="281"/>
    </row>
    <row r="283" spans="2:24" ht="12.75" outlineLevel="1">
      <c r="B283" s="170" t="s">
        <v>203</v>
      </c>
      <c r="C283" s="170"/>
      <c r="D283" s="170"/>
      <c r="E283" s="50">
        <v>0</v>
      </c>
      <c r="F283" s="50">
        <v>0</v>
      </c>
      <c r="G283" s="46">
        <v>0</v>
      </c>
      <c r="H283" s="46">
        <v>0</v>
      </c>
      <c r="I283" s="50">
        <v>0</v>
      </c>
      <c r="J283" s="50">
        <v>0</v>
      </c>
      <c r="K283" s="46">
        <v>-2916431.6666666665</v>
      </c>
      <c r="L283" s="46">
        <v>0</v>
      </c>
      <c r="M283" s="125">
        <f>SUM(E283:L283)</f>
        <v>-2916431.6666666665</v>
      </c>
      <c r="N283" s="47"/>
      <c r="O283" s="281"/>
      <c r="P283" s="281"/>
      <c r="Q283" s="281"/>
      <c r="R283" s="281"/>
      <c r="S283" s="281"/>
      <c r="T283" s="281"/>
      <c r="U283" s="281"/>
      <c r="V283" s="281"/>
      <c r="W283" s="281"/>
      <c r="X283" s="281"/>
    </row>
    <row r="284" spans="2:24" ht="12.75" outlineLevel="1">
      <c r="B284" s="170" t="s">
        <v>247</v>
      </c>
      <c r="C284" s="170"/>
      <c r="D284" s="170"/>
      <c r="E284" s="51"/>
      <c r="F284" s="51"/>
      <c r="G284" s="49"/>
      <c r="H284" s="49"/>
      <c r="I284" s="51"/>
      <c r="J284" s="51"/>
      <c r="K284" s="49"/>
      <c r="L284" s="49"/>
      <c r="M284" s="47"/>
      <c r="N284" s="47"/>
      <c r="O284" s="281"/>
      <c r="P284" s="281"/>
      <c r="Q284" s="281"/>
      <c r="R284" s="281"/>
      <c r="S284" s="281"/>
      <c r="T284" s="281"/>
      <c r="U284" s="281"/>
      <c r="V284" s="281"/>
      <c r="W284" s="281"/>
      <c r="X284" s="281"/>
    </row>
    <row r="285" spans="2:24" ht="12.75" outlineLevel="1">
      <c r="B285" s="172" t="s">
        <v>208</v>
      </c>
      <c r="C285" s="170"/>
      <c r="D285" s="170"/>
      <c r="E285" s="48"/>
      <c r="F285" s="48"/>
      <c r="G285" s="49"/>
      <c r="H285" s="49"/>
      <c r="I285" s="48"/>
      <c r="J285" s="48"/>
      <c r="K285" s="49"/>
      <c r="L285" s="49"/>
      <c r="M285" s="47"/>
      <c r="N285" s="47"/>
      <c r="O285" s="281"/>
      <c r="P285" s="281"/>
      <c r="Q285" s="281"/>
      <c r="R285" s="281"/>
      <c r="S285" s="281"/>
      <c r="T285" s="281"/>
      <c r="U285" s="281"/>
      <c r="V285" s="281"/>
      <c r="W285" s="281"/>
      <c r="X285" s="281"/>
    </row>
    <row r="286" spans="2:24" ht="12.75" outlineLevel="1">
      <c r="B286" s="170" t="s">
        <v>199</v>
      </c>
      <c r="C286" s="170"/>
      <c r="D286" s="170"/>
      <c r="E286" s="50">
        <v>0</v>
      </c>
      <c r="F286" s="50">
        <v>40.08333333333333</v>
      </c>
      <c r="G286" s="46">
        <v>1.1428294111222486</v>
      </c>
      <c r="H286" s="46">
        <v>190.60472727272733</v>
      </c>
      <c r="I286" s="50">
        <v>284.6320490122805</v>
      </c>
      <c r="J286" s="50">
        <v>0</v>
      </c>
      <c r="K286" s="46">
        <v>98.19052173913046</v>
      </c>
      <c r="L286" s="46">
        <v>1</v>
      </c>
      <c r="M286" s="125">
        <f>SUM(E286:L286)</f>
        <v>615.6534607685938</v>
      </c>
      <c r="N286" s="47"/>
      <c r="O286" s="281"/>
      <c r="P286" s="281"/>
      <c r="Q286" s="281"/>
      <c r="R286" s="281"/>
      <c r="S286" s="281"/>
      <c r="T286" s="281"/>
      <c r="U286" s="281"/>
      <c r="V286" s="281"/>
      <c r="W286" s="281"/>
      <c r="X286" s="281"/>
    </row>
    <row r="287" spans="2:24" ht="12.75" outlineLevel="1">
      <c r="B287" s="170" t="s">
        <v>200</v>
      </c>
      <c r="C287" s="170"/>
      <c r="D287" s="170"/>
      <c r="E287" s="50">
        <v>0</v>
      </c>
      <c r="F287" s="50">
        <v>81165.00671478378</v>
      </c>
      <c r="G287" s="46">
        <v>16412.171669580595</v>
      </c>
      <c r="H287" s="46">
        <v>1382891.8870832333</v>
      </c>
      <c r="I287" s="50">
        <v>1008606.4874170622</v>
      </c>
      <c r="J287" s="50">
        <v>0</v>
      </c>
      <c r="K287" s="46">
        <v>339087.7191714836</v>
      </c>
      <c r="L287" s="46">
        <v>17800</v>
      </c>
      <c r="M287" s="125">
        <f>SUM(E287:L287)</f>
        <v>2845963.2720561433</v>
      </c>
      <c r="N287" s="47"/>
      <c r="O287" s="281"/>
      <c r="P287" s="281"/>
      <c r="Q287" s="281"/>
      <c r="R287" s="281"/>
      <c r="S287" s="281"/>
      <c r="T287" s="281"/>
      <c r="U287" s="281"/>
      <c r="V287" s="281"/>
      <c r="W287" s="281"/>
      <c r="X287" s="281"/>
    </row>
    <row r="288" spans="2:24" ht="12.75" outlineLevel="1">
      <c r="B288" s="170" t="s">
        <v>201</v>
      </c>
      <c r="C288" s="170"/>
      <c r="D288" s="170"/>
      <c r="E288" s="50">
        <v>0</v>
      </c>
      <c r="F288" s="50">
        <v>0</v>
      </c>
      <c r="G288" s="46">
        <v>180952.57091540593</v>
      </c>
      <c r="H288" s="46">
        <v>13948293</v>
      </c>
      <c r="I288" s="50">
        <v>9506137.694530949</v>
      </c>
      <c r="J288" s="50">
        <v>0</v>
      </c>
      <c r="K288" s="46">
        <v>3285950.0798122073</v>
      </c>
      <c r="L288" s="46">
        <v>176736</v>
      </c>
      <c r="M288" s="125">
        <f>SUM(E288:L288)</f>
        <v>27098069.345258564</v>
      </c>
      <c r="N288" s="47"/>
      <c r="O288" s="281"/>
      <c r="P288" s="281"/>
      <c r="Q288" s="281"/>
      <c r="R288" s="281"/>
      <c r="S288" s="281"/>
      <c r="T288" s="281"/>
      <c r="U288" s="281"/>
      <c r="V288" s="281"/>
      <c r="W288" s="281"/>
      <c r="X288" s="281"/>
    </row>
    <row r="289" spans="2:24" ht="12.75" outlineLevel="1">
      <c r="B289" s="170" t="s">
        <v>203</v>
      </c>
      <c r="C289" s="170"/>
      <c r="D289" s="170"/>
      <c r="E289" s="50">
        <v>0</v>
      </c>
      <c r="F289" s="50">
        <v>0</v>
      </c>
      <c r="G289" s="46">
        <v>0</v>
      </c>
      <c r="H289" s="46">
        <v>57840489.09090909</v>
      </c>
      <c r="I289" s="50">
        <v>0</v>
      </c>
      <c r="J289" s="50">
        <v>0</v>
      </c>
      <c r="K289" s="46">
        <v>15106396.666666668</v>
      </c>
      <c r="L289" s="46">
        <v>0</v>
      </c>
      <c r="M289" s="125">
        <f>SUM(E289:L289)</f>
        <v>72946885.75757577</v>
      </c>
      <c r="N289" s="47"/>
      <c r="O289" s="281"/>
      <c r="P289" s="281"/>
      <c r="Q289" s="281"/>
      <c r="R289" s="281"/>
      <c r="S289" s="281"/>
      <c r="T289" s="281"/>
      <c r="U289" s="281"/>
      <c r="V289" s="281"/>
      <c r="W289" s="281"/>
      <c r="X289" s="281"/>
    </row>
    <row r="290" spans="2:24" ht="12.75" outlineLevel="1">
      <c r="B290" s="170" t="s">
        <v>247</v>
      </c>
      <c r="C290" s="170"/>
      <c r="D290" s="170"/>
      <c r="E290" s="48"/>
      <c r="F290" s="48"/>
      <c r="G290" s="49"/>
      <c r="H290" s="49"/>
      <c r="I290" s="48"/>
      <c r="J290" s="48"/>
      <c r="K290" s="49"/>
      <c r="L290" s="49"/>
      <c r="M290" s="47"/>
      <c r="N290" s="47"/>
      <c r="O290" s="281"/>
      <c r="P290" s="281"/>
      <c r="Q290" s="281"/>
      <c r="R290" s="281"/>
      <c r="S290" s="281"/>
      <c r="T290" s="281"/>
      <c r="U290" s="281"/>
      <c r="V290" s="281"/>
      <c r="W290" s="281"/>
      <c r="X290" s="281"/>
    </row>
    <row r="291" spans="2:24" ht="12.75" outlineLevel="1">
      <c r="B291" s="172" t="s">
        <v>209</v>
      </c>
      <c r="C291" s="170"/>
      <c r="D291" s="170"/>
      <c r="E291" s="48"/>
      <c r="F291" s="48"/>
      <c r="G291" s="49"/>
      <c r="H291" s="49"/>
      <c r="I291" s="48"/>
      <c r="J291" s="48"/>
      <c r="K291" s="49"/>
      <c r="L291" s="49"/>
      <c r="M291" s="47"/>
      <c r="N291" s="47"/>
      <c r="O291" s="281"/>
      <c r="P291" s="281"/>
      <c r="Q291" s="281"/>
      <c r="R291" s="281"/>
      <c r="S291" s="281"/>
      <c r="T291" s="281"/>
      <c r="U291" s="281"/>
      <c r="V291" s="281"/>
      <c r="W291" s="281"/>
      <c r="X291" s="281"/>
    </row>
    <row r="292" spans="2:24" ht="12.75" outlineLevel="1">
      <c r="B292" s="170" t="s">
        <v>199</v>
      </c>
      <c r="C292" s="170"/>
      <c r="D292" s="170"/>
      <c r="E292" s="50">
        <v>0</v>
      </c>
      <c r="F292" s="50">
        <v>1</v>
      </c>
      <c r="G292" s="46">
        <v>0</v>
      </c>
      <c r="H292" s="46">
        <v>14.545454545454545</v>
      </c>
      <c r="I292" s="50">
        <v>10.333155208737425</v>
      </c>
      <c r="J292" s="50">
        <v>0</v>
      </c>
      <c r="K292" s="46">
        <v>1.9416666666666667</v>
      </c>
      <c r="L292" s="46">
        <v>0</v>
      </c>
      <c r="M292" s="125">
        <f>SUM(E292:L292)</f>
        <v>27.820276420858637</v>
      </c>
      <c r="N292" s="47"/>
      <c r="O292" s="281"/>
      <c r="P292" s="281"/>
      <c r="Q292" s="281"/>
      <c r="R292" s="281"/>
      <c r="S292" s="281"/>
      <c r="T292" s="281"/>
      <c r="U292" s="281"/>
      <c r="V292" s="281"/>
      <c r="W292" s="281"/>
      <c r="X292" s="281"/>
    </row>
    <row r="293" spans="2:24" ht="12.75" outlineLevel="1">
      <c r="B293" s="170" t="s">
        <v>200</v>
      </c>
      <c r="C293" s="170"/>
      <c r="D293" s="170"/>
      <c r="E293" s="50">
        <v>0</v>
      </c>
      <c r="F293" s="50">
        <v>9116</v>
      </c>
      <c r="G293" s="46">
        <v>0</v>
      </c>
      <c r="H293" s="46">
        <v>94925.09042935954</v>
      </c>
      <c r="I293" s="50">
        <v>28492.333333333332</v>
      </c>
      <c r="J293" s="50">
        <v>0</v>
      </c>
      <c r="K293" s="46">
        <v>11853.759578544063</v>
      </c>
      <c r="L293" s="46">
        <v>0</v>
      </c>
      <c r="M293" s="125">
        <f>SUM(E293:L293)</f>
        <v>144387.18334123693</v>
      </c>
      <c r="N293" s="47"/>
      <c r="O293" s="281"/>
      <c r="P293" s="281"/>
      <c r="Q293" s="281"/>
      <c r="R293" s="281"/>
      <c r="S293" s="281"/>
      <c r="T293" s="281"/>
      <c r="U293" s="281"/>
      <c r="V293" s="281"/>
      <c r="W293" s="281"/>
      <c r="X293" s="281"/>
    </row>
    <row r="294" spans="2:24" ht="12.75" outlineLevel="1">
      <c r="B294" s="170" t="s">
        <v>205</v>
      </c>
      <c r="C294" s="170"/>
      <c r="D294" s="170"/>
      <c r="E294" s="50">
        <v>0</v>
      </c>
      <c r="F294" s="50">
        <v>0</v>
      </c>
      <c r="G294" s="46">
        <v>0</v>
      </c>
      <c r="H294" s="46">
        <v>1167599</v>
      </c>
      <c r="I294" s="50">
        <v>499010.31847739854</v>
      </c>
      <c r="J294" s="50">
        <v>0</v>
      </c>
      <c r="K294" s="46">
        <v>212731.472972973</v>
      </c>
      <c r="L294" s="46">
        <v>0</v>
      </c>
      <c r="M294" s="125">
        <f>SUM(E294:L294)</f>
        <v>1879340.7914503715</v>
      </c>
      <c r="N294" s="47"/>
      <c r="O294" s="281"/>
      <c r="P294" s="281"/>
      <c r="Q294" s="281"/>
      <c r="R294" s="281"/>
      <c r="S294" s="281"/>
      <c r="T294" s="281"/>
      <c r="U294" s="281"/>
      <c r="V294" s="281"/>
      <c r="W294" s="281"/>
      <c r="X294" s="281"/>
    </row>
    <row r="295" spans="2:24" ht="12.75" outlineLevel="1">
      <c r="B295" s="170" t="s">
        <v>203</v>
      </c>
      <c r="C295" s="170"/>
      <c r="D295" s="170"/>
      <c r="E295" s="50">
        <v>0</v>
      </c>
      <c r="F295" s="50">
        <v>0</v>
      </c>
      <c r="G295" s="46">
        <v>0</v>
      </c>
      <c r="H295" s="46">
        <v>9059109.090909092</v>
      </c>
      <c r="I295" s="50">
        <v>0</v>
      </c>
      <c r="J295" s="50">
        <v>0</v>
      </c>
      <c r="K295" s="46">
        <v>0</v>
      </c>
      <c r="L295" s="46">
        <v>0</v>
      </c>
      <c r="M295" s="125">
        <f>SUM(E295:L295)</f>
        <v>9059109.090909092</v>
      </c>
      <c r="N295" s="47"/>
      <c r="O295" s="281"/>
      <c r="P295" s="281"/>
      <c r="Q295" s="281"/>
      <c r="R295" s="281"/>
      <c r="S295" s="281"/>
      <c r="T295" s="281"/>
      <c r="U295" s="281"/>
      <c r="V295" s="281"/>
      <c r="W295" s="281"/>
      <c r="X295" s="281"/>
    </row>
    <row r="296" spans="2:24" ht="12.75" outlineLevel="1">
      <c r="B296" s="170" t="s">
        <v>247</v>
      </c>
      <c r="C296" s="170"/>
      <c r="D296" s="170"/>
      <c r="E296" s="51"/>
      <c r="F296" s="51"/>
      <c r="G296" s="49"/>
      <c r="H296" s="49"/>
      <c r="I296" s="51"/>
      <c r="J296" s="51"/>
      <c r="K296" s="49"/>
      <c r="L296" s="49"/>
      <c r="M296" s="47"/>
      <c r="N296" s="47"/>
      <c r="O296" s="281"/>
      <c r="P296" s="281"/>
      <c r="Q296" s="281"/>
      <c r="R296" s="281"/>
      <c r="S296" s="281"/>
      <c r="T296" s="281"/>
      <c r="U296" s="281"/>
      <c r="V296" s="281"/>
      <c r="W296" s="281"/>
      <c r="X296" s="281"/>
    </row>
    <row r="297" spans="2:24" ht="12.75" outlineLevel="1">
      <c r="B297" s="172" t="s">
        <v>210</v>
      </c>
      <c r="C297" s="170"/>
      <c r="D297" s="170"/>
      <c r="E297" s="48"/>
      <c r="F297" s="48"/>
      <c r="G297" s="49"/>
      <c r="H297" s="49"/>
      <c r="I297" s="48"/>
      <c r="J297" s="48"/>
      <c r="K297" s="49"/>
      <c r="L297" s="49"/>
      <c r="M297" s="47"/>
      <c r="N297" s="47"/>
      <c r="O297" s="281"/>
      <c r="P297" s="281"/>
      <c r="Q297" s="281"/>
      <c r="R297" s="281"/>
      <c r="S297" s="281"/>
      <c r="T297" s="281"/>
      <c r="U297" s="281"/>
      <c r="V297" s="281"/>
      <c r="W297" s="281"/>
      <c r="X297" s="281"/>
    </row>
    <row r="298" spans="2:24" ht="12.75" outlineLevel="1">
      <c r="B298" s="170" t="s">
        <v>199</v>
      </c>
      <c r="C298" s="170"/>
      <c r="D298" s="170"/>
      <c r="E298" s="45">
        <v>0</v>
      </c>
      <c r="F298" s="52">
        <v>0</v>
      </c>
      <c r="G298" s="46">
        <v>3.981991934757148</v>
      </c>
      <c r="H298" s="46">
        <v>251.4509956709957</v>
      </c>
      <c r="I298" s="45">
        <v>0</v>
      </c>
      <c r="J298" s="45">
        <v>1</v>
      </c>
      <c r="K298" s="46">
        <v>0</v>
      </c>
      <c r="L298" s="46">
        <v>0</v>
      </c>
      <c r="M298" s="125">
        <f>SUM(E298:L298)</f>
        <v>256.4329876057528</v>
      </c>
      <c r="N298" s="47"/>
      <c r="O298" s="281"/>
      <c r="P298" s="281"/>
      <c r="Q298" s="281"/>
      <c r="R298" s="281"/>
      <c r="S298" s="281"/>
      <c r="T298" s="281"/>
      <c r="U298" s="281"/>
      <c r="V298" s="281"/>
      <c r="W298" s="281"/>
      <c r="X298" s="281"/>
    </row>
    <row r="299" spans="2:24" ht="12.75" outlineLevel="1">
      <c r="B299" s="170" t="s">
        <v>211</v>
      </c>
      <c r="C299" s="170"/>
      <c r="D299" s="170"/>
      <c r="E299" s="45">
        <v>0</v>
      </c>
      <c r="F299" s="52">
        <v>0</v>
      </c>
      <c r="G299" s="46">
        <v>22003.337201738654</v>
      </c>
      <c r="H299" s="46">
        <v>713152.9681415927</v>
      </c>
      <c r="I299" s="45">
        <v>0</v>
      </c>
      <c r="J299" s="45">
        <v>6830</v>
      </c>
      <c r="K299" s="46">
        <v>0</v>
      </c>
      <c r="L299" s="46">
        <v>0</v>
      </c>
      <c r="M299" s="125">
        <f>SUM(E299:L299)</f>
        <v>741986.3053433313</v>
      </c>
      <c r="N299" s="47"/>
      <c r="O299" s="281"/>
      <c r="P299" s="281"/>
      <c r="Q299" s="281"/>
      <c r="R299" s="281"/>
      <c r="S299" s="281"/>
      <c r="T299" s="281"/>
      <c r="U299" s="281"/>
      <c r="V299" s="281"/>
      <c r="W299" s="281"/>
      <c r="X299" s="281"/>
    </row>
    <row r="300" spans="2:24" ht="12.75" outlineLevel="1">
      <c r="B300" s="170" t="s">
        <v>201</v>
      </c>
      <c r="C300" s="170"/>
      <c r="D300" s="170"/>
      <c r="E300" s="45">
        <v>0</v>
      </c>
      <c r="F300" s="52">
        <v>0</v>
      </c>
      <c r="G300" s="46">
        <v>249108.98272194673</v>
      </c>
      <c r="H300" s="46">
        <v>6916425</v>
      </c>
      <c r="I300" s="45">
        <v>0</v>
      </c>
      <c r="J300" s="45">
        <v>64616</v>
      </c>
      <c r="K300" s="46">
        <v>0</v>
      </c>
      <c r="L300" s="46">
        <v>0</v>
      </c>
      <c r="M300" s="125">
        <f>SUM(E300:L300)</f>
        <v>7230149.982721947</v>
      </c>
      <c r="N300" s="47"/>
      <c r="O300" s="281"/>
      <c r="P300" s="281"/>
      <c r="Q300" s="281"/>
      <c r="R300" s="281"/>
      <c r="S300" s="281"/>
      <c r="T300" s="281"/>
      <c r="U300" s="281"/>
      <c r="V300" s="281"/>
      <c r="W300" s="281"/>
      <c r="X300" s="281"/>
    </row>
    <row r="301" spans="2:24" ht="12.75" outlineLevel="1">
      <c r="B301" s="170" t="s">
        <v>202</v>
      </c>
      <c r="C301" s="170"/>
      <c r="D301" s="170"/>
      <c r="E301" s="45">
        <v>0</v>
      </c>
      <c r="F301" s="52">
        <v>0</v>
      </c>
      <c r="G301" s="46">
        <v>91128820.50540927</v>
      </c>
      <c r="H301" s="46">
        <v>2880660598.942918</v>
      </c>
      <c r="I301" s="45">
        <v>0</v>
      </c>
      <c r="J301" s="45">
        <v>7533100</v>
      </c>
      <c r="K301" s="46">
        <v>0</v>
      </c>
      <c r="L301" s="46">
        <v>0</v>
      </c>
      <c r="M301" s="125">
        <f>SUM(E301:L301)</f>
        <v>2979322519.448327</v>
      </c>
      <c r="N301" s="47"/>
      <c r="O301" s="281"/>
      <c r="P301" s="281"/>
      <c r="Q301" s="281"/>
      <c r="R301" s="281"/>
      <c r="S301" s="281"/>
      <c r="T301" s="281"/>
      <c r="U301" s="281"/>
      <c r="V301" s="281"/>
      <c r="W301" s="281"/>
      <c r="X301" s="281"/>
    </row>
    <row r="302" spans="2:24" ht="12.75" outlineLevel="1">
      <c r="B302" s="170" t="s">
        <v>203</v>
      </c>
      <c r="C302" s="170"/>
      <c r="D302" s="170"/>
      <c r="E302" s="45">
        <v>0</v>
      </c>
      <c r="F302" s="52">
        <v>0</v>
      </c>
      <c r="G302" s="46">
        <v>0</v>
      </c>
      <c r="H302" s="46">
        <v>74890023.93939394</v>
      </c>
      <c r="I302" s="45">
        <v>0</v>
      </c>
      <c r="J302" s="45">
        <v>0</v>
      </c>
      <c r="K302" s="46">
        <v>0</v>
      </c>
      <c r="L302" s="46">
        <v>0</v>
      </c>
      <c r="M302" s="125">
        <f>SUM(E302:L302)</f>
        <v>74890023.93939394</v>
      </c>
      <c r="N302" s="47"/>
      <c r="O302" s="281"/>
      <c r="P302" s="281"/>
      <c r="Q302" s="281"/>
      <c r="R302" s="281"/>
      <c r="S302" s="281"/>
      <c r="T302" s="281"/>
      <c r="U302" s="281"/>
      <c r="V302" s="281"/>
      <c r="W302" s="281"/>
      <c r="X302" s="281"/>
    </row>
    <row r="303" spans="2:24" ht="12.75" outlineLevel="1">
      <c r="B303" s="170" t="s">
        <v>247</v>
      </c>
      <c r="C303" s="170"/>
      <c r="D303" s="170"/>
      <c r="E303" s="51"/>
      <c r="F303" s="51"/>
      <c r="G303" s="49"/>
      <c r="H303" s="49"/>
      <c r="I303" s="51"/>
      <c r="J303" s="51"/>
      <c r="K303" s="49"/>
      <c r="L303" s="49"/>
      <c r="M303" s="47"/>
      <c r="N303" s="47"/>
      <c r="O303" s="281"/>
      <c r="P303" s="281"/>
      <c r="Q303" s="281"/>
      <c r="R303" s="281"/>
      <c r="S303" s="281"/>
      <c r="T303" s="281"/>
      <c r="U303" s="281"/>
      <c r="V303" s="281"/>
      <c r="W303" s="281"/>
      <c r="X303" s="281"/>
    </row>
    <row r="304" spans="2:24" ht="12.75" outlineLevel="1">
      <c r="B304" s="172" t="s">
        <v>212</v>
      </c>
      <c r="C304" s="170"/>
      <c r="D304" s="170"/>
      <c r="E304" s="48"/>
      <c r="F304" s="48"/>
      <c r="G304" s="49"/>
      <c r="H304" s="49"/>
      <c r="I304" s="48"/>
      <c r="J304" s="48"/>
      <c r="K304" s="49"/>
      <c r="L304" s="49"/>
      <c r="M304" s="47"/>
      <c r="N304" s="47"/>
      <c r="O304" s="281"/>
      <c r="P304" s="281"/>
      <c r="Q304" s="281"/>
      <c r="R304" s="281"/>
      <c r="S304" s="281"/>
      <c r="T304" s="281"/>
      <c r="U304" s="281"/>
      <c r="V304" s="281"/>
      <c r="W304" s="281"/>
      <c r="X304" s="281"/>
    </row>
    <row r="305" spans="2:24" ht="12.75" outlineLevel="1">
      <c r="B305" s="170" t="s">
        <v>199</v>
      </c>
      <c r="C305" s="170"/>
      <c r="D305" s="170"/>
      <c r="E305" s="52">
        <v>30.23076923076923</v>
      </c>
      <c r="F305" s="52">
        <v>352.9472108843538</v>
      </c>
      <c r="G305" s="46">
        <v>575.6238296360095</v>
      </c>
      <c r="H305" s="46">
        <v>8743.947829313543</v>
      </c>
      <c r="I305" s="52">
        <v>8638.569251077195</v>
      </c>
      <c r="J305" s="52">
        <v>20.58</v>
      </c>
      <c r="K305" s="46">
        <v>2908.130430839002</v>
      </c>
      <c r="L305" s="46">
        <v>247.56251700680275</v>
      </c>
      <c r="M305" s="125">
        <f>SUM(E305:L305)</f>
        <v>21517.591837987675</v>
      </c>
      <c r="N305" s="47"/>
      <c r="O305" s="281"/>
      <c r="P305" s="281"/>
      <c r="Q305" s="281"/>
      <c r="R305" s="281"/>
      <c r="S305" s="281"/>
      <c r="T305" s="281"/>
      <c r="U305" s="281"/>
      <c r="V305" s="281"/>
      <c r="W305" s="281"/>
      <c r="X305" s="281"/>
    </row>
    <row r="306" spans="2:24" ht="12.75" outlineLevel="1">
      <c r="B306" s="170" t="s">
        <v>211</v>
      </c>
      <c r="C306" s="170"/>
      <c r="D306" s="170"/>
      <c r="E306" s="52">
        <v>31827</v>
      </c>
      <c r="F306" s="52">
        <v>180269.14326839492</v>
      </c>
      <c r="G306" s="46">
        <v>143689.84908830476</v>
      </c>
      <c r="H306" s="46">
        <v>2863578.9072937965</v>
      </c>
      <c r="I306" s="52">
        <v>3220467.230907187</v>
      </c>
      <c r="J306" s="52">
        <v>21718</v>
      </c>
      <c r="K306" s="46">
        <v>1879616.018867925</v>
      </c>
      <c r="L306" s="46">
        <v>255866.62059620593</v>
      </c>
      <c r="M306" s="125">
        <f>SUM(E306:L306)</f>
        <v>8597032.770021815</v>
      </c>
      <c r="N306" s="47"/>
      <c r="O306" s="281"/>
      <c r="P306" s="281"/>
      <c r="Q306" s="281"/>
      <c r="R306" s="281"/>
      <c r="S306" s="281"/>
      <c r="T306" s="281"/>
      <c r="U306" s="281"/>
      <c r="V306" s="281"/>
      <c r="W306" s="281"/>
      <c r="X306" s="281"/>
    </row>
    <row r="307" spans="2:24" ht="12.75" outlineLevel="1">
      <c r="B307" s="170" t="s">
        <v>201</v>
      </c>
      <c r="C307" s="170"/>
      <c r="D307" s="170"/>
      <c r="E307" s="52">
        <v>326997</v>
      </c>
      <c r="F307" s="52">
        <v>1451239.1944824283</v>
      </c>
      <c r="G307" s="46">
        <v>1193866.8127275377</v>
      </c>
      <c r="H307" s="46">
        <v>25840610</v>
      </c>
      <c r="I307" s="52">
        <v>26499151.988944307</v>
      </c>
      <c r="J307" s="52">
        <v>211556</v>
      </c>
      <c r="K307" s="46">
        <v>14232267.743589748</v>
      </c>
      <c r="L307" s="46">
        <v>1864254.9503546103</v>
      </c>
      <c r="M307" s="125">
        <f>SUM(E307:L307)</f>
        <v>71619943.69009863</v>
      </c>
      <c r="N307" s="47"/>
      <c r="O307" s="281"/>
      <c r="P307" s="281"/>
      <c r="Q307" s="281"/>
      <c r="R307" s="281"/>
      <c r="S307" s="281"/>
      <c r="T307" s="281"/>
      <c r="U307" s="281"/>
      <c r="V307" s="281"/>
      <c r="W307" s="281"/>
      <c r="X307" s="281"/>
    </row>
    <row r="308" spans="2:24" ht="12.75" outlineLevel="1">
      <c r="B308" s="170" t="s">
        <v>202</v>
      </c>
      <c r="C308" s="170"/>
      <c r="D308" s="170"/>
      <c r="E308" s="52">
        <v>115153203</v>
      </c>
      <c r="F308" s="52">
        <v>458936565.8346821</v>
      </c>
      <c r="G308" s="46">
        <v>393667342.9769135</v>
      </c>
      <c r="H308" s="46">
        <v>8017837964.59893</v>
      </c>
      <c r="I308" s="52">
        <v>8748176212.2427</v>
      </c>
      <c r="J308" s="52">
        <v>79520169</v>
      </c>
      <c r="K308" s="46">
        <v>4837683035.353536</v>
      </c>
      <c r="L308" s="46">
        <v>441358373.6842106</v>
      </c>
      <c r="M308" s="125">
        <f>SUM(E308:L308)</f>
        <v>23092332866.690975</v>
      </c>
      <c r="N308" s="47"/>
      <c r="O308" s="281"/>
      <c r="P308" s="281"/>
      <c r="Q308" s="281"/>
      <c r="R308" s="281"/>
      <c r="S308" s="281"/>
      <c r="T308" s="281"/>
      <c r="U308" s="281"/>
      <c r="V308" s="281"/>
      <c r="W308" s="281"/>
      <c r="X308" s="281"/>
    </row>
    <row r="309" spans="2:24" ht="12.75" outlineLevel="1">
      <c r="B309" s="170" t="s">
        <v>203</v>
      </c>
      <c r="C309" s="170"/>
      <c r="D309" s="170"/>
      <c r="E309" s="52">
        <v>1697501</v>
      </c>
      <c r="F309" s="52">
        <v>0</v>
      </c>
      <c r="G309" s="46">
        <v>5663332.231259481</v>
      </c>
      <c r="H309" s="46">
        <v>257286663.93939397</v>
      </c>
      <c r="I309" s="52">
        <v>0</v>
      </c>
      <c r="J309" s="52">
        <v>1893717</v>
      </c>
      <c r="K309" s="46">
        <v>72805428.33333333</v>
      </c>
      <c r="L309" s="46">
        <v>0</v>
      </c>
      <c r="M309" s="125">
        <f>SUM(E309:L309)</f>
        <v>339346642.5039868</v>
      </c>
      <c r="N309" s="47"/>
      <c r="O309" s="281"/>
      <c r="P309" s="281"/>
      <c r="Q309" s="281"/>
      <c r="R309" s="281"/>
      <c r="S309" s="281"/>
      <c r="T309" s="281"/>
      <c r="U309" s="281"/>
      <c r="V309" s="281"/>
      <c r="W309" s="281"/>
      <c r="X309" s="281"/>
    </row>
    <row r="310" spans="2:24" ht="12.75" outlineLevel="1">
      <c r="B310" s="170" t="s">
        <v>247</v>
      </c>
      <c r="C310" s="170"/>
      <c r="D310" s="170"/>
      <c r="E310" s="48"/>
      <c r="F310" s="48"/>
      <c r="G310" s="49"/>
      <c r="H310" s="49"/>
      <c r="I310" s="48"/>
      <c r="J310" s="48"/>
      <c r="K310" s="49"/>
      <c r="L310" s="49"/>
      <c r="M310" s="47"/>
      <c r="N310" s="47"/>
      <c r="O310" s="281"/>
      <c r="P310" s="281"/>
      <c r="Q310" s="281"/>
      <c r="R310" s="281"/>
      <c r="S310" s="281"/>
      <c r="T310" s="281"/>
      <c r="U310" s="281"/>
      <c r="V310" s="281"/>
      <c r="W310" s="281"/>
      <c r="X310" s="281"/>
    </row>
    <row r="311" spans="2:24" ht="12.75" outlineLevel="1">
      <c r="B311" s="172" t="s">
        <v>213</v>
      </c>
      <c r="C311" s="170"/>
      <c r="D311" s="170"/>
      <c r="E311" s="48"/>
      <c r="F311" s="48"/>
      <c r="G311" s="49"/>
      <c r="H311" s="49"/>
      <c r="I311" s="48"/>
      <c r="J311" s="48"/>
      <c r="K311" s="49"/>
      <c r="L311" s="49"/>
      <c r="M311" s="47"/>
      <c r="N311" s="47"/>
      <c r="O311" s="281"/>
      <c r="P311" s="281"/>
      <c r="Q311" s="281"/>
      <c r="R311" s="281"/>
      <c r="S311" s="281"/>
      <c r="T311" s="281"/>
      <c r="U311" s="281"/>
      <c r="V311" s="281"/>
      <c r="W311" s="281"/>
      <c r="X311" s="281"/>
    </row>
    <row r="312" spans="2:24" ht="12.75" outlineLevel="1">
      <c r="B312" s="170" t="s">
        <v>199</v>
      </c>
      <c r="C312" s="170"/>
      <c r="D312" s="170"/>
      <c r="E312" s="52">
        <v>209.23076923076923</v>
      </c>
      <c r="F312" s="52">
        <v>1369.441609977324</v>
      </c>
      <c r="G312" s="46">
        <v>743.2076460869349</v>
      </c>
      <c r="H312" s="46">
        <v>14115.985930735937</v>
      </c>
      <c r="I312" s="52">
        <v>13013.498951440904</v>
      </c>
      <c r="J312" s="52">
        <v>124.94</v>
      </c>
      <c r="K312" s="46">
        <v>8427.419160997733</v>
      </c>
      <c r="L312" s="46">
        <v>1054.7814058956917</v>
      </c>
      <c r="M312" s="125">
        <f>SUM(E312:L312)</f>
        <v>39058.505474365295</v>
      </c>
      <c r="N312" s="47"/>
      <c r="O312" s="281"/>
      <c r="P312" s="281"/>
      <c r="Q312" s="281"/>
      <c r="R312" s="281"/>
      <c r="S312" s="281"/>
      <c r="T312" s="281"/>
      <c r="U312" s="281"/>
      <c r="V312" s="281"/>
      <c r="W312" s="281"/>
      <c r="X312" s="281"/>
    </row>
    <row r="313" spans="2:24" ht="12.75" outlineLevel="1">
      <c r="B313" s="170" t="s">
        <v>211</v>
      </c>
      <c r="C313" s="170"/>
      <c r="D313" s="170"/>
      <c r="E313" s="52">
        <v>39080.833333333336</v>
      </c>
      <c r="F313" s="52">
        <v>129182.5892997537</v>
      </c>
      <c r="G313" s="46">
        <v>39749.07210452842</v>
      </c>
      <c r="H313" s="46">
        <v>1035786.1391905633</v>
      </c>
      <c r="I313" s="52">
        <v>1156592.3861578444</v>
      </c>
      <c r="J313" s="52">
        <v>20962</v>
      </c>
      <c r="K313" s="46">
        <v>1123543.1707070707</v>
      </c>
      <c r="L313" s="46">
        <v>226553.4458483754</v>
      </c>
      <c r="M313" s="125">
        <f>SUM(E313:L313)</f>
        <v>3771449.6366414693</v>
      </c>
      <c r="N313" s="47"/>
      <c r="O313" s="281"/>
      <c r="P313" s="281"/>
      <c r="Q313" s="281"/>
      <c r="R313" s="281"/>
      <c r="S313" s="281"/>
      <c r="T313" s="281"/>
      <c r="U313" s="281"/>
      <c r="V313" s="281"/>
      <c r="W313" s="281"/>
      <c r="X313" s="281"/>
    </row>
    <row r="314" spans="2:24" ht="12.75" outlineLevel="1">
      <c r="B314" s="170" t="s">
        <v>201</v>
      </c>
      <c r="C314" s="170"/>
      <c r="D314" s="170"/>
      <c r="E314" s="52">
        <v>345771</v>
      </c>
      <c r="F314" s="52">
        <v>1027592.7890870945</v>
      </c>
      <c r="G314" s="46">
        <v>281928.2268187593</v>
      </c>
      <c r="H314" s="46">
        <v>8312690</v>
      </c>
      <c r="I314" s="52">
        <v>9120875.90682236</v>
      </c>
      <c r="J314" s="52">
        <v>199019</v>
      </c>
      <c r="K314" s="46">
        <v>7816825.006410257</v>
      </c>
      <c r="L314" s="46">
        <v>1689610.936170213</v>
      </c>
      <c r="M314" s="125">
        <f>SUM(E314:L314)</f>
        <v>28794312.86530868</v>
      </c>
      <c r="N314" s="47"/>
      <c r="O314" s="281"/>
      <c r="P314" s="281"/>
      <c r="Q314" s="281"/>
      <c r="R314" s="281"/>
      <c r="S314" s="281"/>
      <c r="T314" s="281"/>
      <c r="U314" s="281"/>
      <c r="V314" s="281"/>
      <c r="W314" s="281"/>
      <c r="X314" s="281"/>
    </row>
    <row r="315" spans="2:24" ht="12.75" outlineLevel="1">
      <c r="B315" s="170" t="s">
        <v>202</v>
      </c>
      <c r="C315" s="170"/>
      <c r="D315" s="170"/>
      <c r="E315" s="52">
        <v>99083562</v>
      </c>
      <c r="F315" s="52">
        <v>274840492.0634919</v>
      </c>
      <c r="G315" s="46">
        <v>73348445.03478359</v>
      </c>
      <c r="H315" s="46">
        <v>2198495797.6470594</v>
      </c>
      <c r="I315" s="52">
        <v>2554557106.135801</v>
      </c>
      <c r="J315" s="52">
        <v>52633617</v>
      </c>
      <c r="K315" s="46">
        <v>2289616419.191919</v>
      </c>
      <c r="L315" s="46">
        <v>434528068.42105263</v>
      </c>
      <c r="M315" s="125">
        <f>SUM(E315:L315)</f>
        <v>7977103507.494108</v>
      </c>
      <c r="N315" s="47"/>
      <c r="O315" s="281"/>
      <c r="P315" s="281"/>
      <c r="Q315" s="281"/>
      <c r="R315" s="281"/>
      <c r="S315" s="281"/>
      <c r="T315" s="281"/>
      <c r="U315" s="281"/>
      <c r="V315" s="281"/>
      <c r="W315" s="281"/>
      <c r="X315" s="281"/>
    </row>
    <row r="316" spans="2:24" ht="12.75" outlineLevel="1">
      <c r="B316" s="170" t="s">
        <v>203</v>
      </c>
      <c r="C316" s="170"/>
      <c r="D316" s="170"/>
      <c r="E316" s="52">
        <v>1253833</v>
      </c>
      <c r="F316" s="52">
        <v>0</v>
      </c>
      <c r="G316" s="46">
        <v>192192.0111647621</v>
      </c>
      <c r="H316" s="46">
        <v>34373516.81818181</v>
      </c>
      <c r="I316" s="52">
        <v>0</v>
      </c>
      <c r="J316" s="52">
        <v>976603</v>
      </c>
      <c r="K316" s="46">
        <v>28563976.666666664</v>
      </c>
      <c r="L316" s="46">
        <v>0</v>
      </c>
      <c r="M316" s="125">
        <f>SUM(E316:L316)</f>
        <v>65360121.49601324</v>
      </c>
      <c r="N316" s="47"/>
      <c r="O316" s="281"/>
      <c r="P316" s="281"/>
      <c r="Q316" s="281"/>
      <c r="R316" s="281"/>
      <c r="S316" s="281"/>
      <c r="T316" s="281"/>
      <c r="U316" s="281"/>
      <c r="V316" s="281"/>
      <c r="W316" s="281"/>
      <c r="X316" s="281"/>
    </row>
    <row r="317" spans="2:24" ht="12.75" outlineLevel="1">
      <c r="B317" s="170" t="s">
        <v>247</v>
      </c>
      <c r="C317" s="170"/>
      <c r="D317" s="170"/>
      <c r="E317" s="48"/>
      <c r="F317" s="48"/>
      <c r="G317" s="49"/>
      <c r="H317" s="49"/>
      <c r="I317" s="48"/>
      <c r="J317" s="48"/>
      <c r="K317" s="49"/>
      <c r="L317" s="49"/>
      <c r="M317" s="47"/>
      <c r="N317" s="47"/>
      <c r="O317" s="281"/>
      <c r="P317" s="281"/>
      <c r="Q317" s="281"/>
      <c r="R317" s="281"/>
      <c r="S317" s="281"/>
      <c r="T317" s="281"/>
      <c r="U317" s="281"/>
      <c r="V317" s="281"/>
      <c r="W317" s="281"/>
      <c r="X317" s="281"/>
    </row>
    <row r="318" spans="2:24" ht="12.75" outlineLevel="1">
      <c r="B318" s="172" t="s">
        <v>214</v>
      </c>
      <c r="C318" s="170"/>
      <c r="D318" s="170"/>
      <c r="E318" s="48"/>
      <c r="F318" s="48"/>
      <c r="G318" s="49"/>
      <c r="H318" s="49"/>
      <c r="I318" s="48"/>
      <c r="J318" s="48"/>
      <c r="K318" s="49"/>
      <c r="L318" s="49"/>
      <c r="M318" s="47"/>
      <c r="N318" s="47"/>
      <c r="O318" s="281"/>
      <c r="P318" s="281"/>
      <c r="Q318" s="281"/>
      <c r="R318" s="281"/>
      <c r="S318" s="281"/>
      <c r="T318" s="281"/>
      <c r="U318" s="281"/>
      <c r="V318" s="281"/>
      <c r="W318" s="281"/>
      <c r="X318" s="281"/>
    </row>
    <row r="319" spans="2:24" ht="12.75" outlineLevel="1">
      <c r="B319" s="170" t="s">
        <v>199</v>
      </c>
      <c r="C319" s="170"/>
      <c r="D319" s="170"/>
      <c r="E319" s="53">
        <v>301.3076923076923</v>
      </c>
      <c r="F319" s="52">
        <v>338.2083333333333</v>
      </c>
      <c r="G319" s="46">
        <v>0</v>
      </c>
      <c r="H319" s="46">
        <v>3530.623181818182</v>
      </c>
      <c r="I319" s="52">
        <v>5767.581412920727</v>
      </c>
      <c r="J319" s="52">
        <v>117.52</v>
      </c>
      <c r="K319" s="46">
        <v>7448.165555555556</v>
      </c>
      <c r="L319" s="46">
        <v>121.34611111111118</v>
      </c>
      <c r="M319" s="125">
        <f>SUM(E319:L319)</f>
        <v>17624.752287046602</v>
      </c>
      <c r="N319" s="47"/>
      <c r="O319" s="281"/>
      <c r="P319" s="281"/>
      <c r="Q319" s="281"/>
      <c r="R319" s="281"/>
      <c r="S319" s="281"/>
      <c r="T319" s="281"/>
      <c r="U319" s="281"/>
      <c r="V319" s="281"/>
      <c r="W319" s="281"/>
      <c r="X319" s="281"/>
    </row>
    <row r="320" spans="2:24" ht="12.75" outlineLevel="1">
      <c r="B320" s="170" t="s">
        <v>211</v>
      </c>
      <c r="C320" s="170"/>
      <c r="D320" s="170"/>
      <c r="E320" s="53">
        <v>23100</v>
      </c>
      <c r="F320" s="52">
        <v>16951.27789505424</v>
      </c>
      <c r="G320" s="46">
        <v>0</v>
      </c>
      <c r="H320" s="46">
        <v>93706.12476996687</v>
      </c>
      <c r="I320" s="52">
        <v>254796.22039568264</v>
      </c>
      <c r="J320" s="52">
        <v>7350</v>
      </c>
      <c r="K320" s="46">
        <v>587067.4649122808</v>
      </c>
      <c r="L320" s="46">
        <v>7643.769841269839</v>
      </c>
      <c r="M320" s="125">
        <f>SUM(E320:L320)</f>
        <v>990614.8578142544</v>
      </c>
      <c r="N320" s="47"/>
      <c r="O320" s="281"/>
      <c r="P320" s="281"/>
      <c r="Q320" s="281"/>
      <c r="R320" s="281"/>
      <c r="S320" s="281"/>
      <c r="T320" s="281"/>
      <c r="U320" s="281"/>
      <c r="V320" s="281"/>
      <c r="W320" s="281"/>
      <c r="X320" s="281"/>
    </row>
    <row r="321" spans="2:24" ht="12.75" outlineLevel="1">
      <c r="B321" s="170" t="s">
        <v>221</v>
      </c>
      <c r="C321" s="170"/>
      <c r="D321" s="170"/>
      <c r="E321" s="53">
        <v>15377437</v>
      </c>
      <c r="F321" s="52">
        <v>8318513.396715645</v>
      </c>
      <c r="G321" s="46">
        <v>0</v>
      </c>
      <c r="H321" s="46">
        <v>64228073.426573426</v>
      </c>
      <c r="I321" s="52">
        <v>162275607.8355684</v>
      </c>
      <c r="J321" s="52">
        <v>5951307</v>
      </c>
      <c r="K321" s="46">
        <v>398789120.0000002</v>
      </c>
      <c r="L321" s="46">
        <v>6686376.023391812</v>
      </c>
      <c r="M321" s="125">
        <f>SUM(E321:L321)</f>
        <v>661626434.6822494</v>
      </c>
      <c r="N321" s="47"/>
      <c r="O321" s="281"/>
      <c r="P321" s="281"/>
      <c r="Q321" s="281"/>
      <c r="R321" s="281"/>
      <c r="S321" s="281"/>
      <c r="T321" s="281"/>
      <c r="U321" s="281"/>
      <c r="V321" s="281"/>
      <c r="W321" s="281"/>
      <c r="X321" s="281"/>
    </row>
    <row r="322" spans="2:24" ht="12.75" outlineLevel="1">
      <c r="B322" s="170" t="s">
        <v>202</v>
      </c>
      <c r="C322" s="170"/>
      <c r="D322" s="170"/>
      <c r="E322" s="53">
        <v>30717530</v>
      </c>
      <c r="F322" s="52">
        <v>11263656.37507147</v>
      </c>
      <c r="G322" s="46">
        <v>0</v>
      </c>
      <c r="H322" s="46">
        <v>97542445.39373669</v>
      </c>
      <c r="I322" s="52">
        <v>251724931.48647943</v>
      </c>
      <c r="J322" s="52">
        <v>11540210</v>
      </c>
      <c r="K322" s="46">
        <v>615469290.0000001</v>
      </c>
      <c r="L322" s="46">
        <v>9235995.307917891</v>
      </c>
      <c r="M322" s="125">
        <f>SUM(E322:L322)</f>
        <v>1027494058.5632055</v>
      </c>
      <c r="N322" s="47"/>
      <c r="O322" s="281"/>
      <c r="P322" s="281"/>
      <c r="Q322" s="281"/>
      <c r="R322" s="281"/>
      <c r="S322" s="281"/>
      <c r="T322" s="281"/>
      <c r="U322" s="281"/>
      <c r="V322" s="281"/>
      <c r="W322" s="281"/>
      <c r="X322" s="281"/>
    </row>
    <row r="323" spans="2:24" ht="12.75" outlineLevel="1">
      <c r="B323" s="170" t="s">
        <v>203</v>
      </c>
      <c r="C323" s="170"/>
      <c r="D323" s="170"/>
      <c r="E323" s="53">
        <v>855946</v>
      </c>
      <c r="F323" s="52">
        <v>0</v>
      </c>
      <c r="G323" s="46">
        <v>0</v>
      </c>
      <c r="H323" s="46">
        <v>4025</v>
      </c>
      <c r="I323" s="52">
        <v>0</v>
      </c>
      <c r="J323" s="52">
        <v>264028</v>
      </c>
      <c r="K323" s="46">
        <v>4001311.6666666665</v>
      </c>
      <c r="L323" s="46">
        <v>0</v>
      </c>
      <c r="M323" s="125">
        <f>SUM(E323:L323)</f>
        <v>5125310.666666666</v>
      </c>
      <c r="N323" s="47"/>
      <c r="O323" s="281"/>
      <c r="P323" s="281"/>
      <c r="Q323" s="281"/>
      <c r="R323" s="281"/>
      <c r="S323" s="281"/>
      <c r="T323" s="281"/>
      <c r="U323" s="281"/>
      <c r="V323" s="281"/>
      <c r="W323" s="281"/>
      <c r="X323" s="281"/>
    </row>
    <row r="324" spans="2:24" ht="12.75" outlineLevel="1">
      <c r="B324" s="170" t="s">
        <v>247</v>
      </c>
      <c r="C324" s="170"/>
      <c r="D324" s="170"/>
      <c r="E324" s="48"/>
      <c r="F324" s="48"/>
      <c r="G324" s="49"/>
      <c r="H324" s="49"/>
      <c r="I324" s="48"/>
      <c r="J324" s="48"/>
      <c r="K324" s="49"/>
      <c r="L324" s="49"/>
      <c r="M324" s="47"/>
      <c r="N324" s="47"/>
      <c r="O324" s="281"/>
      <c r="P324" s="281"/>
      <c r="Q324" s="281"/>
      <c r="R324" s="281"/>
      <c r="S324" s="281"/>
      <c r="T324" s="281"/>
      <c r="U324" s="281"/>
      <c r="V324" s="281"/>
      <c r="W324" s="281"/>
      <c r="X324" s="281"/>
    </row>
    <row r="325" spans="2:24" ht="12.75" outlineLevel="1">
      <c r="B325" s="171" t="s">
        <v>505</v>
      </c>
      <c r="C325" s="170"/>
      <c r="D325" s="170"/>
      <c r="E325" s="48"/>
      <c r="F325" s="48"/>
      <c r="G325" s="49"/>
      <c r="H325" s="49"/>
      <c r="I325" s="48"/>
      <c r="J325" s="48"/>
      <c r="K325" s="49"/>
      <c r="L325" s="49"/>
      <c r="M325" s="47"/>
      <c r="N325" s="47"/>
      <c r="O325" s="281"/>
      <c r="P325" s="281"/>
      <c r="Q325" s="281"/>
      <c r="R325" s="281"/>
      <c r="S325" s="281"/>
      <c r="T325" s="281"/>
      <c r="U325" s="281"/>
      <c r="V325" s="281"/>
      <c r="W325" s="281"/>
      <c r="X325" s="281"/>
    </row>
    <row r="326" spans="2:24" ht="12.75" outlineLevel="1">
      <c r="B326" s="170"/>
      <c r="C326" s="170"/>
      <c r="D326" s="170"/>
      <c r="E326" s="48"/>
      <c r="F326" s="48"/>
      <c r="G326" s="49"/>
      <c r="H326" s="49"/>
      <c r="I326" s="48"/>
      <c r="J326" s="48"/>
      <c r="K326" s="49"/>
      <c r="L326" s="49"/>
      <c r="M326" s="47"/>
      <c r="N326" s="47"/>
      <c r="O326" s="281"/>
      <c r="P326" s="281"/>
      <c r="Q326" s="281"/>
      <c r="R326" s="281"/>
      <c r="S326" s="281"/>
      <c r="T326" s="281"/>
      <c r="U326" s="281"/>
      <c r="V326" s="281"/>
      <c r="W326" s="281"/>
      <c r="X326" s="281"/>
    </row>
    <row r="327" spans="2:24" ht="12.75" outlineLevel="1">
      <c r="B327" s="172" t="s">
        <v>222</v>
      </c>
      <c r="C327" s="176"/>
      <c r="D327" s="176"/>
      <c r="E327" s="48"/>
      <c r="F327" s="48"/>
      <c r="G327" s="49"/>
      <c r="H327" s="49"/>
      <c r="I327" s="48"/>
      <c r="J327" s="48"/>
      <c r="K327" s="49"/>
      <c r="L327" s="49"/>
      <c r="M327" s="47"/>
      <c r="N327" s="47"/>
      <c r="O327" s="281"/>
      <c r="P327" s="281"/>
      <c r="Q327" s="281"/>
      <c r="R327" s="281"/>
      <c r="S327" s="281"/>
      <c r="T327" s="281"/>
      <c r="U327" s="281"/>
      <c r="V327" s="281"/>
      <c r="W327" s="281"/>
      <c r="X327" s="281"/>
    </row>
    <row r="328" spans="2:24" ht="12.75" outlineLevel="1">
      <c r="B328" s="170" t="s">
        <v>199</v>
      </c>
      <c r="C328" s="176"/>
      <c r="D328" s="176"/>
      <c r="E328" s="53">
        <v>1143</v>
      </c>
      <c r="F328" s="52">
        <v>5782.666666666667</v>
      </c>
      <c r="G328" s="46">
        <v>847.8935778973796</v>
      </c>
      <c r="H328" s="46">
        <v>46621</v>
      </c>
      <c r="I328" s="46">
        <v>67423.15491628615</v>
      </c>
      <c r="J328" s="52">
        <v>1154.1</v>
      </c>
      <c r="K328" s="46">
        <v>66117.93333333333</v>
      </c>
      <c r="L328" s="46">
        <v>4342.649991103722</v>
      </c>
      <c r="M328" s="125">
        <f>SUM(E328:L328)</f>
        <v>193432.39848528724</v>
      </c>
      <c r="N328" s="47"/>
      <c r="O328" s="281"/>
      <c r="P328" s="281"/>
      <c r="Q328" s="281"/>
      <c r="R328" s="281"/>
      <c r="S328" s="281"/>
      <c r="T328" s="281"/>
      <c r="U328" s="281"/>
      <c r="V328" s="281"/>
      <c r="W328" s="281"/>
      <c r="X328" s="281"/>
    </row>
    <row r="329" spans="2:24" ht="12.75" outlineLevel="1">
      <c r="B329" s="170" t="s">
        <v>211</v>
      </c>
      <c r="C329" s="176"/>
      <c r="D329" s="176"/>
      <c r="E329" s="53">
        <v>14045</v>
      </c>
      <c r="F329" s="52">
        <v>135995.8333333333</v>
      </c>
      <c r="G329" s="46">
        <v>23691.571742109834</v>
      </c>
      <c r="H329" s="46">
        <v>2455153.2640248067</v>
      </c>
      <c r="I329" s="46">
        <v>2218740.6761415526</v>
      </c>
      <c r="J329" s="52">
        <v>14539.5</v>
      </c>
      <c r="K329" s="46">
        <v>1897735.9714912297</v>
      </c>
      <c r="L329" s="46">
        <v>131622.8666666667</v>
      </c>
      <c r="M329" s="125">
        <f>SUM(E329:L329)</f>
        <v>6891524.683399698</v>
      </c>
      <c r="N329" s="47"/>
      <c r="O329" s="281"/>
      <c r="P329" s="281"/>
      <c r="Q329" s="281"/>
      <c r="R329" s="281"/>
      <c r="S329" s="281"/>
      <c r="T329" s="281"/>
      <c r="U329" s="281"/>
      <c r="V329" s="281"/>
      <c r="W329" s="281"/>
      <c r="X329" s="281"/>
    </row>
    <row r="330" spans="2:24" ht="12.75" outlineLevel="1">
      <c r="B330" s="170" t="s">
        <v>221</v>
      </c>
      <c r="C330" s="176"/>
      <c r="D330" s="176"/>
      <c r="E330" s="53">
        <v>13825240</v>
      </c>
      <c r="F330" s="52">
        <v>86039763.89843757</v>
      </c>
      <c r="G330" s="46">
        <v>13674972.110320965</v>
      </c>
      <c r="H330" s="46">
        <v>1195350661.0002005</v>
      </c>
      <c r="I330" s="46">
        <v>961142792.4346151</v>
      </c>
      <c r="J330" s="52">
        <v>11208697</v>
      </c>
      <c r="K330" s="46">
        <v>697666938.918919</v>
      </c>
      <c r="L330" s="46">
        <v>54223282.460330725</v>
      </c>
      <c r="M330" s="125">
        <f>SUM(E330:L330)</f>
        <v>3033132347.8228235</v>
      </c>
      <c r="N330" s="47"/>
      <c r="O330" s="281"/>
      <c r="P330" s="281"/>
      <c r="Q330" s="281"/>
      <c r="R330" s="281"/>
      <c r="S330" s="281"/>
      <c r="T330" s="281"/>
      <c r="U330" s="281"/>
      <c r="V330" s="281"/>
      <c r="W330" s="281"/>
      <c r="X330" s="281"/>
    </row>
    <row r="331" spans="2:24" ht="12.75" outlineLevel="1">
      <c r="B331" s="170" t="s">
        <v>202</v>
      </c>
      <c r="C331" s="176"/>
      <c r="D331" s="176"/>
      <c r="E331" s="53">
        <v>23834077</v>
      </c>
      <c r="F331" s="52">
        <v>107201426.37223403</v>
      </c>
      <c r="G331" s="46">
        <v>13533074.108282179</v>
      </c>
      <c r="H331" s="46">
        <v>1385592132.434307</v>
      </c>
      <c r="I331" s="46">
        <v>1261510559.0211368</v>
      </c>
      <c r="J331" s="52">
        <v>23547828</v>
      </c>
      <c r="K331" s="46">
        <v>1023324235.6756761</v>
      </c>
      <c r="L331" s="46">
        <v>74569875.72381811</v>
      </c>
      <c r="M331" s="125">
        <f>SUM(E331:L331)</f>
        <v>3913113208.3354545</v>
      </c>
      <c r="N331" s="47"/>
      <c r="O331" s="281"/>
      <c r="P331" s="281"/>
      <c r="Q331" s="281"/>
      <c r="R331" s="281"/>
      <c r="S331" s="281"/>
      <c r="T331" s="281"/>
      <c r="U331" s="281"/>
      <c r="V331" s="281"/>
      <c r="W331" s="281"/>
      <c r="X331" s="281"/>
    </row>
    <row r="332" spans="2:24" ht="12.75" outlineLevel="1">
      <c r="B332" s="170" t="s">
        <v>247</v>
      </c>
      <c r="C332" s="176"/>
      <c r="D332" s="176"/>
      <c r="E332" s="48"/>
      <c r="F332" s="48"/>
      <c r="G332" s="49"/>
      <c r="H332" s="49"/>
      <c r="I332" s="49"/>
      <c r="J332" s="48"/>
      <c r="K332" s="49"/>
      <c r="L332" s="49"/>
      <c r="M332" s="47"/>
      <c r="N332" s="47"/>
      <c r="O332" s="281"/>
      <c r="P332" s="281"/>
      <c r="Q332" s="281"/>
      <c r="R332" s="281"/>
      <c r="S332" s="281"/>
      <c r="T332" s="281"/>
      <c r="U332" s="281"/>
      <c r="V332" s="281"/>
      <c r="W332" s="281"/>
      <c r="X332" s="281"/>
    </row>
    <row r="333" spans="2:24" ht="12.75" outlineLevel="1">
      <c r="B333" s="172" t="s">
        <v>223</v>
      </c>
      <c r="C333" s="176"/>
      <c r="D333" s="176"/>
      <c r="E333" s="48"/>
      <c r="F333" s="48"/>
      <c r="G333" s="49"/>
      <c r="H333" s="49"/>
      <c r="I333" s="49"/>
      <c r="J333" s="48"/>
      <c r="K333" s="49"/>
      <c r="L333" s="49"/>
      <c r="M333" s="47"/>
      <c r="N333" s="47"/>
      <c r="O333" s="281"/>
      <c r="P333" s="281"/>
      <c r="Q333" s="281"/>
      <c r="R333" s="281"/>
      <c r="S333" s="281"/>
      <c r="T333" s="281"/>
      <c r="U333" s="281"/>
      <c r="V333" s="281"/>
      <c r="W333" s="281"/>
      <c r="X333" s="281"/>
    </row>
    <row r="334" spans="2:24" ht="12.75" outlineLevel="1">
      <c r="B334" s="170" t="s">
        <v>199</v>
      </c>
      <c r="C334" s="176"/>
      <c r="D334" s="176"/>
      <c r="E334" s="52">
        <v>495</v>
      </c>
      <c r="F334" s="52">
        <v>2422.3333333333335</v>
      </c>
      <c r="G334" s="46">
        <v>2619.9210860587264</v>
      </c>
      <c r="H334" s="46">
        <v>21145</v>
      </c>
      <c r="I334" s="46">
        <v>48458.57121004566</v>
      </c>
      <c r="J334" s="52">
        <v>0</v>
      </c>
      <c r="K334" s="46">
        <v>10094.281666666668</v>
      </c>
      <c r="L334" s="46">
        <v>0</v>
      </c>
      <c r="M334" s="125">
        <f>SUM(E334:L334)</f>
        <v>85235.10729610438</v>
      </c>
      <c r="N334" s="47"/>
      <c r="O334" s="281"/>
      <c r="P334" s="281"/>
      <c r="Q334" s="281"/>
      <c r="R334" s="281"/>
      <c r="S334" s="281"/>
      <c r="T334" s="281"/>
      <c r="U334" s="281"/>
      <c r="V334" s="281"/>
      <c r="W334" s="281"/>
      <c r="X334" s="281"/>
    </row>
    <row r="335" spans="2:24" ht="12.75" outlineLevel="1">
      <c r="B335" s="170" t="s">
        <v>211</v>
      </c>
      <c r="C335" s="176"/>
      <c r="D335" s="176"/>
      <c r="E335" s="52">
        <v>6064</v>
      </c>
      <c r="F335" s="52">
        <v>52277.083333333336</v>
      </c>
      <c r="G335" s="46">
        <v>87088.22283588152</v>
      </c>
      <c r="H335" s="46">
        <v>1115765.359900376</v>
      </c>
      <c r="I335" s="46">
        <v>1634630.9134112273</v>
      </c>
      <c r="J335" s="52">
        <v>0</v>
      </c>
      <c r="K335" s="46">
        <v>287788.63157894736</v>
      </c>
      <c r="L335" s="46">
        <v>0</v>
      </c>
      <c r="M335" s="125">
        <f>SUM(E335:L335)</f>
        <v>3183614.211059766</v>
      </c>
      <c r="N335" s="47"/>
      <c r="O335" s="281"/>
      <c r="P335" s="281"/>
      <c r="Q335" s="281"/>
      <c r="R335" s="281"/>
      <c r="S335" s="281"/>
      <c r="T335" s="281"/>
      <c r="U335" s="281"/>
      <c r="V335" s="281"/>
      <c r="W335" s="281"/>
      <c r="X335" s="281"/>
    </row>
    <row r="336" spans="2:24" ht="12.75" outlineLevel="1">
      <c r="B336" s="170" t="s">
        <v>224</v>
      </c>
      <c r="C336" s="176"/>
      <c r="D336" s="176"/>
      <c r="E336" s="52">
        <v>12402867</v>
      </c>
      <c r="F336" s="52">
        <v>42418757.79980905</v>
      </c>
      <c r="G336" s="46">
        <v>68438810.2918538</v>
      </c>
      <c r="H336" s="46">
        <v>885857073.860345</v>
      </c>
      <c r="I336" s="46">
        <v>1074349037.4885304</v>
      </c>
      <c r="J336" s="52">
        <v>0</v>
      </c>
      <c r="K336" s="46">
        <v>199666897.2972974</v>
      </c>
      <c r="L336" s="46">
        <v>0</v>
      </c>
      <c r="M336" s="125">
        <f>SUM(E336:L336)</f>
        <v>2283133443.737836</v>
      </c>
      <c r="N336" s="47"/>
      <c r="O336" s="281"/>
      <c r="P336" s="281"/>
      <c r="Q336" s="281"/>
      <c r="R336" s="281"/>
      <c r="S336" s="281"/>
      <c r="T336" s="281"/>
      <c r="U336" s="281"/>
      <c r="V336" s="281"/>
      <c r="W336" s="281"/>
      <c r="X336" s="281"/>
    </row>
    <row r="337" spans="2:24" ht="12.75" outlineLevel="1">
      <c r="B337" s="170" t="s">
        <v>247</v>
      </c>
      <c r="C337" s="176"/>
      <c r="D337" s="176"/>
      <c r="E337" s="48"/>
      <c r="F337" s="48"/>
      <c r="G337" s="49"/>
      <c r="H337" s="49"/>
      <c r="I337" s="49"/>
      <c r="J337" s="48"/>
      <c r="K337" s="49"/>
      <c r="L337" s="49"/>
      <c r="M337" s="47"/>
      <c r="N337" s="47"/>
      <c r="O337" s="281"/>
      <c r="P337" s="281"/>
      <c r="Q337" s="281"/>
      <c r="R337" s="281"/>
      <c r="S337" s="281"/>
      <c r="T337" s="281"/>
      <c r="U337" s="281"/>
      <c r="V337" s="281"/>
      <c r="W337" s="281"/>
      <c r="X337" s="281"/>
    </row>
    <row r="338" spans="2:24" ht="12.75" outlineLevel="1">
      <c r="B338" s="172" t="s">
        <v>225</v>
      </c>
      <c r="C338" s="176"/>
      <c r="D338" s="176"/>
      <c r="E338" s="48"/>
      <c r="F338" s="48"/>
      <c r="G338" s="49"/>
      <c r="H338" s="49"/>
      <c r="I338" s="49"/>
      <c r="J338" s="48"/>
      <c r="K338" s="49"/>
      <c r="L338" s="49"/>
      <c r="M338" s="47"/>
      <c r="N338" s="47"/>
      <c r="O338" s="281"/>
      <c r="P338" s="281"/>
      <c r="Q338" s="281"/>
      <c r="R338" s="281"/>
      <c r="S338" s="281"/>
      <c r="T338" s="281"/>
      <c r="U338" s="281"/>
      <c r="V338" s="281"/>
      <c r="W338" s="281"/>
      <c r="X338" s="281"/>
    </row>
    <row r="339" spans="2:24" ht="12.75" outlineLevel="1">
      <c r="B339" s="170" t="s">
        <v>199</v>
      </c>
      <c r="C339" s="176"/>
      <c r="D339" s="176"/>
      <c r="E339" s="52">
        <v>31424</v>
      </c>
      <c r="F339" s="52">
        <v>74148</v>
      </c>
      <c r="G339" s="46">
        <v>7501.455669925997</v>
      </c>
      <c r="H339" s="53">
        <v>1102121</v>
      </c>
      <c r="I339" s="53">
        <v>747884.6561263318</v>
      </c>
      <c r="J339" s="52">
        <v>18560.3</v>
      </c>
      <c r="K339" s="46">
        <v>1317004.7349999994</v>
      </c>
      <c r="L339" s="46">
        <v>40675.469078579576</v>
      </c>
      <c r="M339" s="125">
        <f>SUM(E339:L339)</f>
        <v>3339319.6158748367</v>
      </c>
      <c r="N339" s="47"/>
      <c r="O339" s="281"/>
      <c r="P339" s="281"/>
      <c r="Q339" s="281"/>
      <c r="R339" s="281"/>
      <c r="S339" s="281"/>
      <c r="T339" s="281"/>
      <c r="U339" s="281"/>
      <c r="V339" s="281"/>
      <c r="W339" s="281"/>
      <c r="X339" s="281"/>
    </row>
    <row r="340" spans="2:24" ht="12.75" outlineLevel="1">
      <c r="B340" s="170" t="s">
        <v>221</v>
      </c>
      <c r="C340" s="176"/>
      <c r="D340" s="176"/>
      <c r="E340" s="52">
        <v>61673634</v>
      </c>
      <c r="F340" s="52">
        <v>169056054.63602152</v>
      </c>
      <c r="G340" s="46">
        <v>23555550.786592994</v>
      </c>
      <c r="H340" s="53">
        <v>2609920072.5378513</v>
      </c>
      <c r="I340" s="53">
        <v>2000989358.4480526</v>
      </c>
      <c r="J340" s="52">
        <v>34099169</v>
      </c>
      <c r="K340" s="46">
        <v>2449670997.727273</v>
      </c>
      <c r="L340" s="46">
        <v>76086583.03266703</v>
      </c>
      <c r="M340" s="125">
        <f>SUM(E340:L340)</f>
        <v>7425051420.168459</v>
      </c>
      <c r="N340" s="47"/>
      <c r="O340" s="281"/>
      <c r="P340" s="281"/>
      <c r="Q340" s="281"/>
      <c r="R340" s="281"/>
      <c r="S340" s="281"/>
      <c r="T340" s="281"/>
      <c r="U340" s="281"/>
      <c r="V340" s="281"/>
      <c r="W340" s="281"/>
      <c r="X340" s="281"/>
    </row>
    <row r="341" spans="2:24" ht="12.75" outlineLevel="1">
      <c r="B341" s="170" t="s">
        <v>202</v>
      </c>
      <c r="C341" s="176"/>
      <c r="D341" s="176"/>
      <c r="E341" s="52">
        <v>64385672</v>
      </c>
      <c r="F341" s="52">
        <v>169469738.92296875</v>
      </c>
      <c r="G341" s="46">
        <v>16628993.773827842</v>
      </c>
      <c r="H341" s="53">
        <v>2293982212.1699924</v>
      </c>
      <c r="I341" s="53">
        <v>1931534843.9919121</v>
      </c>
      <c r="J341" s="52">
        <v>40546386</v>
      </c>
      <c r="K341" s="46">
        <v>2476861659.753085</v>
      </c>
      <c r="L341" s="46">
        <v>93913143.1881963</v>
      </c>
      <c r="M341" s="125">
        <f>SUM(E341:L341)</f>
        <v>7087322649.799982</v>
      </c>
      <c r="N341" s="47"/>
      <c r="O341" s="281"/>
      <c r="P341" s="281"/>
      <c r="Q341" s="281"/>
      <c r="R341" s="281"/>
      <c r="S341" s="281"/>
      <c r="T341" s="281"/>
      <c r="U341" s="281"/>
      <c r="V341" s="281"/>
      <c r="W341" s="281"/>
      <c r="X341" s="281"/>
    </row>
    <row r="342" spans="2:24" ht="12.75" outlineLevel="1">
      <c r="B342" s="170" t="s">
        <v>247</v>
      </c>
      <c r="C342" s="176"/>
      <c r="D342" s="176"/>
      <c r="E342" s="51"/>
      <c r="F342" s="51"/>
      <c r="G342" s="49"/>
      <c r="H342" s="49"/>
      <c r="I342" s="49"/>
      <c r="J342" s="51"/>
      <c r="K342" s="49"/>
      <c r="L342" s="49"/>
      <c r="M342" s="47"/>
      <c r="N342" s="47"/>
      <c r="O342" s="281"/>
      <c r="P342" s="281"/>
      <c r="Q342" s="281"/>
      <c r="R342" s="281"/>
      <c r="S342" s="281"/>
      <c r="T342" s="281"/>
      <c r="U342" s="281"/>
      <c r="V342" s="281"/>
      <c r="W342" s="281"/>
      <c r="X342" s="281"/>
    </row>
    <row r="343" spans="2:24" ht="12.75" outlineLevel="1">
      <c r="B343" s="172" t="s">
        <v>226</v>
      </c>
      <c r="C343" s="176"/>
      <c r="D343" s="176"/>
      <c r="E343" s="48"/>
      <c r="F343" s="48"/>
      <c r="G343" s="49"/>
      <c r="H343" s="49"/>
      <c r="I343" s="49"/>
      <c r="J343" s="48"/>
      <c r="K343" s="49"/>
      <c r="L343" s="49"/>
      <c r="M343" s="47"/>
      <c r="N343" s="47"/>
      <c r="O343" s="281"/>
      <c r="P343" s="281"/>
      <c r="Q343" s="281"/>
      <c r="R343" s="281"/>
      <c r="S343" s="281"/>
      <c r="T343" s="281"/>
      <c r="U343" s="281"/>
      <c r="V343" s="281"/>
      <c r="W343" s="281"/>
      <c r="X343" s="281"/>
    </row>
    <row r="344" spans="2:24" ht="12.75" outlineLevel="1">
      <c r="B344" s="170" t="s">
        <v>199</v>
      </c>
      <c r="C344" s="176"/>
      <c r="D344" s="176"/>
      <c r="E344" s="52">
        <v>18390</v>
      </c>
      <c r="F344" s="52">
        <v>117251.58333333334</v>
      </c>
      <c r="G344" s="46">
        <v>90396.51666238013</v>
      </c>
      <c r="H344" s="46">
        <v>1337572</v>
      </c>
      <c r="I344" s="46">
        <v>1933351.8148173492</v>
      </c>
      <c r="J344" s="52">
        <v>10723.8</v>
      </c>
      <c r="K344" s="46">
        <v>528846.4755555555</v>
      </c>
      <c r="L344" s="46">
        <v>6171.923152538919</v>
      </c>
      <c r="M344" s="125">
        <f>SUM(E344:L344)</f>
        <v>4042704.113521157</v>
      </c>
      <c r="N344" s="47"/>
      <c r="O344" s="281"/>
      <c r="P344" s="281"/>
      <c r="Q344" s="281"/>
      <c r="R344" s="281"/>
      <c r="S344" s="281"/>
      <c r="T344" s="281"/>
      <c r="U344" s="281"/>
      <c r="V344" s="281"/>
      <c r="W344" s="281"/>
      <c r="X344" s="281"/>
    </row>
    <row r="345" spans="2:24" ht="12.75" outlineLevel="1">
      <c r="B345" s="170" t="s">
        <v>224</v>
      </c>
      <c r="C345" s="176"/>
      <c r="D345" s="176"/>
      <c r="E345" s="52">
        <v>51309306</v>
      </c>
      <c r="F345" s="52">
        <v>319684654.9631323</v>
      </c>
      <c r="G345" s="46">
        <v>302610332.39034045</v>
      </c>
      <c r="H345" s="46">
        <v>4362846128.734176</v>
      </c>
      <c r="I345" s="46">
        <v>6018445122.755042</v>
      </c>
      <c r="J345" s="52">
        <v>28897207</v>
      </c>
      <c r="K345" s="46">
        <v>1347147876.7901223</v>
      </c>
      <c r="L345" s="46">
        <v>15278512.52290185</v>
      </c>
      <c r="M345" s="125">
        <f>SUM(E345:L345)</f>
        <v>12446219141.155714</v>
      </c>
      <c r="N345" s="47"/>
      <c r="O345" s="281"/>
      <c r="P345" s="281"/>
      <c r="Q345" s="281"/>
      <c r="R345" s="281"/>
      <c r="S345" s="281"/>
      <c r="T345" s="281"/>
      <c r="U345" s="281"/>
      <c r="V345" s="281"/>
      <c r="W345" s="281"/>
      <c r="X345" s="281"/>
    </row>
    <row r="346" spans="2:24" ht="12.75" outlineLevel="1">
      <c r="B346" s="170" t="s">
        <v>247</v>
      </c>
      <c r="C346" s="176"/>
      <c r="D346" s="176"/>
      <c r="E346" s="54"/>
      <c r="F346" s="54"/>
      <c r="G346" s="49"/>
      <c r="H346" s="49"/>
      <c r="I346" s="49"/>
      <c r="J346" s="54"/>
      <c r="K346" s="49"/>
      <c r="L346" s="49"/>
      <c r="M346" s="47"/>
      <c r="N346" s="47"/>
      <c r="O346" s="281"/>
      <c r="P346" s="281"/>
      <c r="Q346" s="281"/>
      <c r="R346" s="281"/>
      <c r="S346" s="281"/>
      <c r="T346" s="281"/>
      <c r="U346" s="281"/>
      <c r="V346" s="281"/>
      <c r="W346" s="281"/>
      <c r="X346" s="281"/>
    </row>
    <row r="347" spans="2:24" ht="12.75" outlineLevel="1">
      <c r="B347" s="172" t="s">
        <v>232</v>
      </c>
      <c r="C347" s="176"/>
      <c r="D347" s="176"/>
      <c r="E347" s="54"/>
      <c r="F347" s="54"/>
      <c r="G347" s="49"/>
      <c r="H347" s="49"/>
      <c r="I347" s="49"/>
      <c r="J347" s="54"/>
      <c r="K347" s="49"/>
      <c r="L347" s="49"/>
      <c r="M347" s="47"/>
      <c r="N347" s="47"/>
      <c r="O347" s="281"/>
      <c r="P347" s="281"/>
      <c r="Q347" s="281"/>
      <c r="R347" s="281"/>
      <c r="S347" s="281"/>
      <c r="T347" s="281"/>
      <c r="U347" s="281"/>
      <c r="V347" s="281"/>
      <c r="W347" s="281"/>
      <c r="X347" s="281"/>
    </row>
    <row r="348" spans="2:24" ht="12.75" outlineLevel="1">
      <c r="B348" s="170" t="s">
        <v>199</v>
      </c>
      <c r="C348" s="176"/>
      <c r="D348" s="176"/>
      <c r="E348" s="52">
        <v>22222</v>
      </c>
      <c r="F348" s="52">
        <v>84308.62962962962</v>
      </c>
      <c r="G348" s="46">
        <v>43726.64362609061</v>
      </c>
      <c r="H348" s="46">
        <v>1059984.7087542086</v>
      </c>
      <c r="I348" s="46">
        <v>724252.1296296297</v>
      </c>
      <c r="J348" s="52">
        <v>17798</v>
      </c>
      <c r="K348" s="46">
        <v>583716.4259259258</v>
      </c>
      <c r="L348" s="46">
        <v>23983.11111111111</v>
      </c>
      <c r="M348" s="125">
        <f>SUM(E348:L348)</f>
        <v>2559991.6486765957</v>
      </c>
      <c r="N348" s="47"/>
      <c r="O348" s="281"/>
      <c r="P348" s="281"/>
      <c r="Q348" s="281"/>
      <c r="R348" s="281"/>
      <c r="S348" s="281"/>
      <c r="T348" s="281"/>
      <c r="U348" s="281"/>
      <c r="V348" s="281"/>
      <c r="W348" s="281"/>
      <c r="X348" s="281"/>
    </row>
    <row r="349" spans="2:24" ht="12.75" outlineLevel="1">
      <c r="B349" s="170" t="s">
        <v>221</v>
      </c>
      <c r="C349" s="176"/>
      <c r="D349" s="176"/>
      <c r="E349" s="52">
        <v>3242245</v>
      </c>
      <c r="F349" s="52">
        <v>15619402.820777431</v>
      </c>
      <c r="G349" s="46">
        <v>9578691.546638532</v>
      </c>
      <c r="H349" s="46">
        <v>86862135.33169535</v>
      </c>
      <c r="I349" s="46">
        <v>108942208.9578188</v>
      </c>
      <c r="J349" s="52">
        <v>2460276</v>
      </c>
      <c r="K349" s="46">
        <v>115878613.03462324</v>
      </c>
      <c r="L349" s="46">
        <v>4749139</v>
      </c>
      <c r="M349" s="125">
        <f>SUM(E349:L349)</f>
        <v>347332711.69155335</v>
      </c>
      <c r="N349" s="47"/>
      <c r="O349" s="281"/>
      <c r="P349" s="281"/>
      <c r="Q349" s="281"/>
      <c r="R349" s="281"/>
      <c r="S349" s="281"/>
      <c r="T349" s="281"/>
      <c r="U349" s="281"/>
      <c r="V349" s="281"/>
      <c r="W349" s="281"/>
      <c r="X349" s="281"/>
    </row>
    <row r="350" spans="2:24" ht="12.75" outlineLevel="1">
      <c r="B350" s="170" t="s">
        <v>202</v>
      </c>
      <c r="C350" s="176"/>
      <c r="D350" s="176"/>
      <c r="E350" s="56">
        <v>1407398</v>
      </c>
      <c r="F350" s="56">
        <v>0</v>
      </c>
      <c r="G350" s="46">
        <v>4065614.0478630834</v>
      </c>
      <c r="H350" s="46">
        <v>89875066.76767679</v>
      </c>
      <c r="I350" s="46">
        <v>20859764.280641217</v>
      </c>
      <c r="J350" s="52">
        <v>813058</v>
      </c>
      <c r="K350" s="46">
        <v>35859694.02202412</v>
      </c>
      <c r="L350" s="46">
        <v>1825735.1620947632</v>
      </c>
      <c r="M350" s="125">
        <f>SUM(E350:L350)</f>
        <v>154706330.28029996</v>
      </c>
      <c r="N350" s="47"/>
      <c r="O350" s="281"/>
      <c r="P350" s="281"/>
      <c r="Q350" s="281"/>
      <c r="R350" s="281"/>
      <c r="S350" s="281"/>
      <c r="T350" s="281"/>
      <c r="U350" s="281"/>
      <c r="V350" s="281"/>
      <c r="W350" s="281"/>
      <c r="X350" s="281"/>
    </row>
    <row r="351" spans="2:24" ht="12.75" outlineLevel="1">
      <c r="B351" s="170"/>
      <c r="C351" s="176"/>
      <c r="D351" s="176"/>
      <c r="E351" s="48"/>
      <c r="F351" s="48"/>
      <c r="G351" s="49"/>
      <c r="H351" s="49"/>
      <c r="I351" s="54"/>
      <c r="J351" s="54"/>
      <c r="K351" s="49"/>
      <c r="L351" s="49"/>
      <c r="M351" s="47"/>
      <c r="N351" s="47"/>
      <c r="O351" s="281"/>
      <c r="P351" s="281"/>
      <c r="Q351" s="281"/>
      <c r="R351" s="281"/>
      <c r="S351" s="281"/>
      <c r="T351" s="281"/>
      <c r="U351" s="281"/>
      <c r="V351" s="281"/>
      <c r="W351" s="281"/>
      <c r="X351" s="281"/>
    </row>
    <row r="352" spans="2:24" ht="12.75" outlineLevel="1">
      <c r="B352" s="171" t="s">
        <v>506</v>
      </c>
      <c r="C352" s="176"/>
      <c r="D352" s="176"/>
      <c r="E352" s="48"/>
      <c r="F352" s="48"/>
      <c r="G352" s="49"/>
      <c r="H352" s="49"/>
      <c r="I352" s="54"/>
      <c r="J352" s="54"/>
      <c r="K352" s="49"/>
      <c r="L352" s="49"/>
      <c r="M352" s="47"/>
      <c r="N352" s="47"/>
      <c r="O352" s="281"/>
      <c r="P352" s="281"/>
      <c r="Q352" s="281"/>
      <c r="R352" s="281"/>
      <c r="S352" s="281"/>
      <c r="T352" s="281"/>
      <c r="U352" s="281"/>
      <c r="V352" s="281"/>
      <c r="W352" s="281"/>
      <c r="X352" s="281"/>
    </row>
    <row r="353" spans="2:24" ht="12.75" outlineLevel="1">
      <c r="B353" s="170"/>
      <c r="C353" s="176"/>
      <c r="D353" s="176"/>
      <c r="E353" s="48"/>
      <c r="F353" s="48"/>
      <c r="G353" s="49"/>
      <c r="H353" s="49"/>
      <c r="I353" s="54"/>
      <c r="J353" s="54"/>
      <c r="K353" s="49"/>
      <c r="L353" s="49"/>
      <c r="M353" s="47"/>
      <c r="N353" s="47"/>
      <c r="O353" s="281"/>
      <c r="P353" s="281"/>
      <c r="Q353" s="281"/>
      <c r="R353" s="281"/>
      <c r="S353" s="281"/>
      <c r="T353" s="281"/>
      <c r="U353" s="281"/>
      <c r="V353" s="281"/>
      <c r="W353" s="281"/>
      <c r="X353" s="281"/>
    </row>
    <row r="354" spans="2:24" ht="12.75" outlineLevel="1">
      <c r="B354" s="172" t="s">
        <v>235</v>
      </c>
      <c r="C354" s="190"/>
      <c r="D354" s="190"/>
      <c r="E354" s="48"/>
      <c r="F354" s="48"/>
      <c r="G354" s="49"/>
      <c r="H354" s="49"/>
      <c r="I354" s="54"/>
      <c r="J354" s="54"/>
      <c r="K354" s="49"/>
      <c r="L354" s="49"/>
      <c r="M354" s="47"/>
      <c r="N354" s="47"/>
      <c r="O354" s="281"/>
      <c r="P354" s="281"/>
      <c r="Q354" s="281"/>
      <c r="R354" s="281"/>
      <c r="S354" s="281"/>
      <c r="T354" s="281"/>
      <c r="U354" s="281"/>
      <c r="V354" s="281"/>
      <c r="W354" s="281"/>
      <c r="X354" s="281"/>
    </row>
    <row r="355" spans="2:24" ht="12.75" outlineLevel="1">
      <c r="B355" s="170" t="s">
        <v>236</v>
      </c>
      <c r="C355" s="191"/>
      <c r="D355" s="191"/>
      <c r="E355" s="139">
        <f>E348</f>
        <v>22222</v>
      </c>
      <c r="F355" s="139">
        <f aca="true" t="shared" si="26" ref="F355:L355">F348</f>
        <v>84308.62962962962</v>
      </c>
      <c r="G355" s="139">
        <f>G348</f>
        <v>43726.64362609061</v>
      </c>
      <c r="H355" s="139">
        <f>H348</f>
        <v>1059984.7087542086</v>
      </c>
      <c r="I355" s="139">
        <f t="shared" si="26"/>
        <v>724252.1296296297</v>
      </c>
      <c r="J355" s="139">
        <f t="shared" si="26"/>
        <v>17798</v>
      </c>
      <c r="K355" s="139">
        <f>K348</f>
        <v>583716.4259259258</v>
      </c>
      <c r="L355" s="139">
        <f t="shared" si="26"/>
        <v>23983.11111111111</v>
      </c>
      <c r="M355" s="125">
        <f>SUM(E355:L355)</f>
        <v>2559991.6486765957</v>
      </c>
      <c r="N355" s="54"/>
      <c r="O355" s="283"/>
      <c r="P355" s="283"/>
      <c r="Q355" s="283"/>
      <c r="R355" s="283"/>
      <c r="S355" s="283"/>
      <c r="T355" s="283"/>
      <c r="U355" s="283"/>
      <c r="V355" s="283"/>
      <c r="W355" s="283"/>
      <c r="X355" s="283"/>
    </row>
    <row r="356" spans="2:24" ht="12.75" outlineLevel="1">
      <c r="B356" s="170" t="s">
        <v>237</v>
      </c>
      <c r="C356" s="191"/>
      <c r="D356" s="191"/>
      <c r="E356" s="139">
        <f>E344+E339+E334+E328</f>
        <v>51452</v>
      </c>
      <c r="F356" s="139">
        <f aca="true" t="shared" si="27" ref="F356:L356">F344+F339+F334+F328</f>
        <v>199604.58333333334</v>
      </c>
      <c r="G356" s="139">
        <f>G344+G339+G334+G328</f>
        <v>101365.78699626225</v>
      </c>
      <c r="H356" s="139">
        <f t="shared" si="27"/>
        <v>2507459</v>
      </c>
      <c r="I356" s="139">
        <f t="shared" si="27"/>
        <v>2797118.197070013</v>
      </c>
      <c r="J356" s="139">
        <f t="shared" si="27"/>
        <v>30438.199999999997</v>
      </c>
      <c r="K356" s="139">
        <f>K344+K339+K334+K328</f>
        <v>1922063.425555555</v>
      </c>
      <c r="L356" s="139">
        <f t="shared" si="27"/>
        <v>51190.04222222222</v>
      </c>
      <c r="M356" s="125">
        <f>SUM(E356:L356)</f>
        <v>7660691.235177386</v>
      </c>
      <c r="N356" s="54"/>
      <c r="O356" s="283"/>
      <c r="P356" s="283"/>
      <c r="Q356" s="283"/>
      <c r="R356" s="283"/>
      <c r="S356" s="283"/>
      <c r="T356" s="283"/>
      <c r="U356" s="283"/>
      <c r="V356" s="283"/>
      <c r="W356" s="283"/>
      <c r="X356" s="283"/>
    </row>
    <row r="357" spans="2:24" ht="12.75" outlineLevel="1">
      <c r="B357" s="170"/>
      <c r="C357" s="191"/>
      <c r="D357" s="191"/>
      <c r="E357" s="54"/>
      <c r="F357" s="54"/>
      <c r="G357" s="49"/>
      <c r="H357" s="49"/>
      <c r="I357" s="54"/>
      <c r="J357" s="54"/>
      <c r="K357" s="49"/>
      <c r="L357" s="49"/>
      <c r="M357" s="47"/>
      <c r="N357" s="47"/>
      <c r="O357" s="281"/>
      <c r="P357" s="281"/>
      <c r="Q357" s="281"/>
      <c r="R357" s="281"/>
      <c r="S357" s="281"/>
      <c r="T357" s="281"/>
      <c r="U357" s="281"/>
      <c r="V357" s="281"/>
      <c r="W357" s="281"/>
      <c r="X357" s="281"/>
    </row>
    <row r="358" spans="2:24" ht="12.75" outlineLevel="1">
      <c r="B358" s="172" t="s">
        <v>238</v>
      </c>
      <c r="C358" s="190"/>
      <c r="D358" s="190"/>
      <c r="E358" s="54"/>
      <c r="F358" s="54"/>
      <c r="G358" s="49"/>
      <c r="H358" s="49"/>
      <c r="I358" s="54"/>
      <c r="J358" s="54"/>
      <c r="K358" s="49"/>
      <c r="L358" s="49"/>
      <c r="M358" s="47"/>
      <c r="N358" s="47"/>
      <c r="O358" s="281"/>
      <c r="P358" s="281"/>
      <c r="Q358" s="281"/>
      <c r="R358" s="281"/>
      <c r="S358" s="281"/>
      <c r="T358" s="281"/>
      <c r="U358" s="281"/>
      <c r="V358" s="281"/>
      <c r="W358" s="281"/>
      <c r="X358" s="281"/>
    </row>
    <row r="359" spans="2:24" ht="12.75" outlineLevel="1">
      <c r="B359" s="170" t="s">
        <v>239</v>
      </c>
      <c r="C359" s="191"/>
      <c r="D359" s="191"/>
      <c r="E359" s="139">
        <f>E$7*E348</f>
        <v>22222</v>
      </c>
      <c r="F359" s="139">
        <f aca="true" t="shared" si="28" ref="F359:L359">F$7*F348</f>
        <v>84308.62962962962</v>
      </c>
      <c r="G359" s="139">
        <f>G$7*G348</f>
        <v>43726.64362609061</v>
      </c>
      <c r="H359" s="139">
        <f t="shared" si="28"/>
        <v>1059984.7087542086</v>
      </c>
      <c r="I359" s="139">
        <f t="shared" si="28"/>
        <v>724252.1296296297</v>
      </c>
      <c r="J359" s="139">
        <f t="shared" si="28"/>
        <v>17798</v>
      </c>
      <c r="K359" s="139">
        <f>K$7*K348</f>
        <v>583716.4259259258</v>
      </c>
      <c r="L359" s="139">
        <f t="shared" si="28"/>
        <v>23983.11111111111</v>
      </c>
      <c r="M359" s="125">
        <f aca="true" t="shared" si="29" ref="M359:M364">SUM(E359:L359)</f>
        <v>2559991.6486765957</v>
      </c>
      <c r="N359" s="54"/>
      <c r="O359" s="283"/>
      <c r="P359" s="283"/>
      <c r="Q359" s="283"/>
      <c r="R359" s="283"/>
      <c r="S359" s="283"/>
      <c r="T359" s="283"/>
      <c r="U359" s="283"/>
      <c r="V359" s="283"/>
      <c r="W359" s="283"/>
      <c r="X359" s="283"/>
    </row>
    <row r="360" spans="2:24" ht="12.75" outlineLevel="1">
      <c r="B360" s="170" t="s">
        <v>494</v>
      </c>
      <c r="C360" s="191"/>
      <c r="D360" s="191"/>
      <c r="E360" s="139">
        <f>E$8*(E344+E339)</f>
        <v>49814</v>
      </c>
      <c r="F360" s="139">
        <f aca="true" t="shared" si="30" ref="F360:L360">F$8*(F344+F339)</f>
        <v>191399.58333333334</v>
      </c>
      <c r="G360" s="139">
        <f>G$8*(G344+G339)</f>
        <v>97897.97233230613</v>
      </c>
      <c r="H360" s="139">
        <f t="shared" si="30"/>
        <v>2439693</v>
      </c>
      <c r="I360" s="139">
        <f t="shared" si="30"/>
        <v>2681236.470943681</v>
      </c>
      <c r="J360" s="139">
        <f t="shared" si="30"/>
        <v>29284.1</v>
      </c>
      <c r="K360" s="139">
        <f>K$8*(K344+K339)</f>
        <v>1845851.2105555548</v>
      </c>
      <c r="L360" s="139">
        <f t="shared" si="30"/>
        <v>46847.392231118494</v>
      </c>
      <c r="M360" s="125">
        <f t="shared" si="29"/>
        <v>7382023.729395994</v>
      </c>
      <c r="N360" s="54"/>
      <c r="O360" s="283"/>
      <c r="P360" s="283"/>
      <c r="Q360" s="283"/>
      <c r="R360" s="283"/>
      <c r="S360" s="283"/>
      <c r="T360" s="283"/>
      <c r="U360" s="283"/>
      <c r="V360" s="283"/>
      <c r="W360" s="283"/>
      <c r="X360" s="283"/>
    </row>
    <row r="361" spans="2:24" ht="12.75" outlineLevel="1">
      <c r="B361" s="170" t="s">
        <v>241</v>
      </c>
      <c r="C361" s="191"/>
      <c r="D361" s="191"/>
      <c r="E361" s="139">
        <f aca="true" t="shared" si="31" ref="E361:L361">E$9*(E334+E328)</f>
        <v>874.2955414012739</v>
      </c>
      <c r="F361" s="139">
        <f t="shared" si="31"/>
        <v>4053.3991667020596</v>
      </c>
      <c r="G361" s="139">
        <f>G$9*(G334+G328)</f>
        <v>1345.9305266248487</v>
      </c>
      <c r="H361" s="139">
        <f>H$9*(H334+H328)</f>
        <v>34237.338121892135</v>
      </c>
      <c r="I361" s="139">
        <f t="shared" si="31"/>
        <v>54933.519126885796</v>
      </c>
      <c r="J361" s="139">
        <f t="shared" si="31"/>
        <v>534.4297095435684</v>
      </c>
      <c r="K361" s="139">
        <f>K$9*(K334+K328)</f>
        <v>40406.66107476335</v>
      </c>
      <c r="L361" s="139">
        <f t="shared" si="31"/>
        <v>1750.3225006792259</v>
      </c>
      <c r="M361" s="125">
        <f t="shared" si="29"/>
        <v>138135.89576849225</v>
      </c>
      <c r="N361" s="54"/>
      <c r="O361" s="283"/>
      <c r="P361" s="283"/>
      <c r="Q361" s="283"/>
      <c r="R361" s="283"/>
      <c r="S361" s="283"/>
      <c r="T361" s="283"/>
      <c r="U361" s="283"/>
      <c r="V361" s="283"/>
      <c r="W361" s="283"/>
      <c r="X361" s="283"/>
    </row>
    <row r="362" spans="2:24" ht="12.75" outlineLevel="1">
      <c r="B362" s="170" t="s">
        <v>242</v>
      </c>
      <c r="C362" s="191"/>
      <c r="D362" s="191"/>
      <c r="E362" s="139">
        <f aca="true" t="shared" si="32" ref="E362:L362">E$10*(E334+E328)</f>
        <v>279.6076433121019</v>
      </c>
      <c r="F362" s="139">
        <f t="shared" si="32"/>
        <v>1819.0895507975117</v>
      </c>
      <c r="G362" s="139">
        <f t="shared" si="32"/>
        <v>702.9339856418907</v>
      </c>
      <c r="H362" s="139">
        <f t="shared" si="32"/>
        <v>13408.173328442072</v>
      </c>
      <c r="I362" s="139">
        <f t="shared" si="32"/>
        <v>22452.10506180069</v>
      </c>
      <c r="J362" s="139">
        <f t="shared" si="32"/>
        <v>271.15230982019364</v>
      </c>
      <c r="K362" s="139">
        <f t="shared" si="32"/>
        <v>12945.91978880382</v>
      </c>
      <c r="L362" s="139">
        <f t="shared" si="32"/>
        <v>1029.2121113033627</v>
      </c>
      <c r="M362" s="125">
        <f t="shared" si="29"/>
        <v>52908.19377992164</v>
      </c>
      <c r="N362" s="54"/>
      <c r="O362" s="283"/>
      <c r="P362" s="283"/>
      <c r="Q362" s="283"/>
      <c r="R362" s="283"/>
      <c r="S362" s="283"/>
      <c r="T362" s="283"/>
      <c r="U362" s="283"/>
      <c r="V362" s="283"/>
      <c r="W362" s="283"/>
      <c r="X362" s="283"/>
    </row>
    <row r="363" spans="2:24" ht="12.75" outlineLevel="1">
      <c r="B363" s="170" t="s">
        <v>243</v>
      </c>
      <c r="C363" s="191"/>
      <c r="D363" s="191"/>
      <c r="E363" s="139">
        <f>E$11*(E334+E328)</f>
        <v>250.39490445859872</v>
      </c>
      <c r="F363" s="139">
        <f aca="true" t="shared" si="33" ref="F363:L363">F$11*(F334+F328)</f>
        <v>1284.2508487062505</v>
      </c>
      <c r="G363" s="139">
        <f>G$11*(G334+G328)</f>
        <v>1296.6409947706488</v>
      </c>
      <c r="H363" s="139">
        <f t="shared" si="33"/>
        <v>12225.081181782116</v>
      </c>
      <c r="I363" s="139">
        <f t="shared" si="33"/>
        <v>22222.925237579395</v>
      </c>
      <c r="J363" s="139">
        <f t="shared" si="33"/>
        <v>211.45197786998614</v>
      </c>
      <c r="K363" s="139">
        <f>K$11*(K334+K328)</f>
        <v>15230.364159643672</v>
      </c>
      <c r="L363" s="139">
        <f t="shared" si="33"/>
        <v>866.2197250522189</v>
      </c>
      <c r="M363" s="125">
        <f t="shared" si="29"/>
        <v>53587.329029862885</v>
      </c>
      <c r="N363" s="54"/>
      <c r="O363" s="283"/>
      <c r="P363" s="283"/>
      <c r="Q363" s="283"/>
      <c r="R363" s="283"/>
      <c r="S363" s="283"/>
      <c r="T363" s="283"/>
      <c r="U363" s="283"/>
      <c r="V363" s="283"/>
      <c r="W363" s="283"/>
      <c r="X363" s="283"/>
    </row>
    <row r="364" spans="2:24" ht="12.75" outlineLevel="1">
      <c r="B364" s="170" t="s">
        <v>244</v>
      </c>
      <c r="C364" s="191"/>
      <c r="D364" s="191"/>
      <c r="E364" s="139">
        <f aca="true" t="shared" si="34" ref="E364:L364">E$12*(E334+E328)</f>
        <v>233.70191082802546</v>
      </c>
      <c r="F364" s="139">
        <f t="shared" si="34"/>
        <v>1048.1713078250211</v>
      </c>
      <c r="G364" s="139">
        <f>G$12*(G334+G328)</f>
        <v>122.30915691871571</v>
      </c>
      <c r="H364" s="139">
        <f t="shared" si="34"/>
        <v>7895.454325896489</v>
      </c>
      <c r="I364" s="139">
        <f t="shared" si="34"/>
        <v>16273.176700065918</v>
      </c>
      <c r="J364" s="139">
        <f t="shared" si="34"/>
        <v>137.06600276625173</v>
      </c>
      <c r="K364" s="139">
        <f>K$12*(K334+K328)</f>
        <v>7629.514983692935</v>
      </c>
      <c r="L364" s="139">
        <f t="shared" si="34"/>
        <v>696.8956540689147</v>
      </c>
      <c r="M364" s="125">
        <f t="shared" si="29"/>
        <v>34036.290042062275</v>
      </c>
      <c r="N364" s="54"/>
      <c r="O364" s="283"/>
      <c r="P364" s="283"/>
      <c r="Q364" s="283"/>
      <c r="R364" s="283"/>
      <c r="S364" s="283"/>
      <c r="T364" s="283"/>
      <c r="U364" s="283"/>
      <c r="V364" s="283"/>
      <c r="W364" s="283"/>
      <c r="X364" s="283"/>
    </row>
    <row r="365" spans="2:24" ht="12.75" outlineLevel="1">
      <c r="B365" s="170" t="s">
        <v>247</v>
      </c>
      <c r="C365" s="170"/>
      <c r="D365" s="170"/>
      <c r="E365" s="54"/>
      <c r="F365" s="54"/>
      <c r="G365" s="49"/>
      <c r="H365" s="49"/>
      <c r="I365" s="54"/>
      <c r="J365" s="54"/>
      <c r="K365" s="49"/>
      <c r="L365" s="49"/>
      <c r="M365" s="47"/>
      <c r="N365" s="47"/>
      <c r="O365" s="281"/>
      <c r="P365" s="281"/>
      <c r="Q365" s="281"/>
      <c r="R365" s="281"/>
      <c r="S365" s="281"/>
      <c r="T365" s="281"/>
      <c r="U365" s="281"/>
      <c r="V365" s="281"/>
      <c r="W365" s="281"/>
      <c r="X365" s="281"/>
    </row>
    <row r="366" spans="2:24" ht="12.75" outlineLevel="1">
      <c r="B366" s="171" t="s">
        <v>227</v>
      </c>
      <c r="C366" s="171"/>
      <c r="D366" s="171"/>
      <c r="E366" s="54"/>
      <c r="F366" s="54"/>
      <c r="G366" s="49"/>
      <c r="H366" s="49"/>
      <c r="I366" s="54"/>
      <c r="J366" s="54"/>
      <c r="K366" s="49"/>
      <c r="L366" s="49"/>
      <c r="M366" s="47"/>
      <c r="N366" s="47"/>
      <c r="O366" s="281"/>
      <c r="P366" s="281"/>
      <c r="Q366" s="281"/>
      <c r="R366" s="281"/>
      <c r="S366" s="281"/>
      <c r="T366" s="281"/>
      <c r="U366" s="281"/>
      <c r="V366" s="281"/>
      <c r="W366" s="281"/>
      <c r="X366" s="281"/>
    </row>
    <row r="367" spans="2:24" ht="12.75" outlineLevel="1">
      <c r="B367" s="170" t="s">
        <v>247</v>
      </c>
      <c r="C367" s="170"/>
      <c r="D367" s="170"/>
      <c r="E367" s="51"/>
      <c r="F367" s="51"/>
      <c r="G367" s="49"/>
      <c r="H367" s="49"/>
      <c r="I367" s="54"/>
      <c r="J367" s="54"/>
      <c r="K367" s="49"/>
      <c r="L367" s="49"/>
      <c r="M367" s="47"/>
      <c r="N367" s="47"/>
      <c r="O367" s="281"/>
      <c r="P367" s="281"/>
      <c r="Q367" s="281"/>
      <c r="R367" s="281"/>
      <c r="S367" s="281"/>
      <c r="T367" s="281"/>
      <c r="U367" s="281"/>
      <c r="V367" s="281"/>
      <c r="W367" s="281"/>
      <c r="X367" s="281"/>
    </row>
    <row r="368" spans="2:24" ht="12.75" outlineLevel="1">
      <c r="B368" s="169" t="s">
        <v>348</v>
      </c>
      <c r="C368" s="169"/>
      <c r="D368" s="169"/>
      <c r="E368" s="140">
        <f>'PAV (incl RV)'!E221</f>
        <v>22222</v>
      </c>
      <c r="F368" s="140">
        <f>'PAV (incl RV)'!J221</f>
        <v>84304.74999999999</v>
      </c>
      <c r="G368" s="140">
        <f>'PAV (incl RV)'!T221</f>
        <v>43726.64362609061</v>
      </c>
      <c r="H368" s="140">
        <f>'PAV (incl RV)'!O221</f>
        <v>1045520.4078441673</v>
      </c>
      <c r="I368" s="140">
        <f>'PAV (incl RV)'!Y221</f>
        <v>724532</v>
      </c>
      <c r="J368" s="140">
        <f>'PAV (incl RV)'!AD221</f>
        <v>17798</v>
      </c>
      <c r="K368" s="140">
        <f>'PAV (incl RV)'!AI221</f>
        <v>567848.6927083334</v>
      </c>
      <c r="L368" s="140">
        <f>'PAV (incl RV)'!AN221</f>
        <v>23983.016129032258</v>
      </c>
      <c r="M368" s="125">
        <f aca="true" t="shared" si="35" ref="M368:M375">SUM(E368:L368)</f>
        <v>2529935.5103076235</v>
      </c>
      <c r="N368" s="55"/>
      <c r="O368" s="284"/>
      <c r="P368" s="284"/>
      <c r="Q368" s="284"/>
      <c r="R368" s="284"/>
      <c r="S368" s="284"/>
      <c r="T368" s="284"/>
      <c r="U368" s="284"/>
      <c r="V368" s="284"/>
      <c r="W368" s="284"/>
      <c r="X368" s="284"/>
    </row>
    <row r="369" spans="2:24" ht="12.75" outlineLevel="1">
      <c r="B369" s="169" t="s">
        <v>349</v>
      </c>
      <c r="C369" s="169"/>
      <c r="D369" s="169"/>
      <c r="E369" s="140">
        <f>'PAV (incl RV)'!E222</f>
        <v>49814</v>
      </c>
      <c r="F369" s="140">
        <f>'PAV (incl RV)'!J222</f>
        <v>191399.58333333337</v>
      </c>
      <c r="G369" s="140">
        <f>'PAV (incl RV)'!T222</f>
        <v>97607.87850294591</v>
      </c>
      <c r="H369" s="140">
        <f>'PAV (incl RV)'!O222</f>
        <v>2450670.0019193124</v>
      </c>
      <c r="I369" s="140">
        <f>'PAV (incl RV)'!Y222</f>
        <v>2676633</v>
      </c>
      <c r="J369" s="140">
        <f>'PAV (incl RV)'!AD222</f>
        <v>29284.1</v>
      </c>
      <c r="K369" s="140">
        <f>'PAV (incl RV)'!AI222</f>
        <v>1857065.6212574851</v>
      </c>
      <c r="L369" s="140">
        <f>'PAV (incl RV)'!AN222</f>
        <v>46847.392231118494</v>
      </c>
      <c r="M369" s="125">
        <f t="shared" si="35"/>
        <v>7399321.577244195</v>
      </c>
      <c r="N369" s="55"/>
      <c r="O369" s="284"/>
      <c r="P369" s="284"/>
      <c r="Q369" s="284"/>
      <c r="R369" s="284"/>
      <c r="S369" s="284"/>
      <c r="T369" s="284"/>
      <c r="U369" s="284"/>
      <c r="V369" s="284"/>
      <c r="W369" s="284"/>
      <c r="X369" s="284"/>
    </row>
    <row r="370" spans="2:24" ht="12.75" outlineLevel="1">
      <c r="B370" s="169" t="s">
        <v>350</v>
      </c>
      <c r="C370" s="169"/>
      <c r="D370" s="169"/>
      <c r="E370" s="140">
        <f>'PAV (incl RV)'!E223</f>
        <v>1638</v>
      </c>
      <c r="F370" s="140">
        <f>'PAV (incl RV)'!J223</f>
        <v>8199.833333333334</v>
      </c>
      <c r="G370" s="140">
        <f>'PAV (incl RV)'!T223</f>
        <v>3450.3686852252567</v>
      </c>
      <c r="H370" s="140">
        <f>'PAV (incl RV)'!O223</f>
        <v>67416.6520293126</v>
      </c>
      <c r="I370" s="140">
        <f>'PAV (incl RV)'!Y223</f>
        <v>117972.77845833334</v>
      </c>
      <c r="J370" s="140">
        <f>'PAV (incl RV)'!AD223</f>
        <v>1154.1</v>
      </c>
      <c r="K370" s="140">
        <f>'PAV (incl RV)'!AI223</f>
        <v>83467.06176470588</v>
      </c>
      <c r="L370" s="140">
        <f>'PAV (incl RV)'!AN223</f>
        <v>4462.738399636781</v>
      </c>
      <c r="M370" s="125">
        <f t="shared" si="35"/>
        <v>287761.5326705472</v>
      </c>
      <c r="N370" s="55"/>
      <c r="O370" s="284"/>
      <c r="P370" s="284"/>
      <c r="Q370" s="284"/>
      <c r="R370" s="284"/>
      <c r="S370" s="284"/>
      <c r="T370" s="284"/>
      <c r="U370" s="284"/>
      <c r="V370" s="284"/>
      <c r="W370" s="284"/>
      <c r="X370" s="284"/>
    </row>
    <row r="371" spans="2:24" ht="12.75" outlineLevel="1">
      <c r="B371" s="169" t="s">
        <v>341</v>
      </c>
      <c r="C371" s="169"/>
      <c r="D371" s="169"/>
      <c r="E371" s="140">
        <f>'PAV (incl RV)'!E224</f>
        <v>510.53846153846155</v>
      </c>
      <c r="F371" s="140">
        <f>'PAV (incl RV)'!J224</f>
        <v>1705.4971995464853</v>
      </c>
      <c r="G371" s="140">
        <f>'PAV (incl RV)'!T224</f>
        <v>742.8360093164525</v>
      </c>
      <c r="H371" s="140">
        <f>'PAV (incl RV)'!O224</f>
        <v>34441.571127733034</v>
      </c>
      <c r="I371" s="140">
        <f>'PAV (incl RV)'!Y224</f>
        <v>24303.770291666668</v>
      </c>
      <c r="J371" s="140">
        <f>'PAV (incl RV)'!AD224</f>
        <v>242.45999999999998</v>
      </c>
      <c r="K371" s="140">
        <f>'PAV (incl RV)'!AI224</f>
        <v>14030.526570048309</v>
      </c>
      <c r="L371" s="140">
        <f>'PAV (incl RV)'!AN224</f>
        <v>1033.4207841546524</v>
      </c>
      <c r="M371" s="125">
        <f t="shared" si="35"/>
        <v>77010.62044400407</v>
      </c>
      <c r="N371" s="55"/>
      <c r="O371" s="284"/>
      <c r="P371" s="284"/>
      <c r="Q371" s="284"/>
      <c r="R371" s="284"/>
      <c r="S371" s="284"/>
      <c r="T371" s="284"/>
      <c r="U371" s="284"/>
      <c r="V371" s="284"/>
      <c r="W371" s="284"/>
      <c r="X371" s="284"/>
    </row>
    <row r="372" spans="2:24" ht="12.75" outlineLevel="1">
      <c r="B372" s="169" t="s">
        <v>343</v>
      </c>
      <c r="C372" s="169"/>
      <c r="D372" s="169"/>
      <c r="E372" s="140">
        <f>'PAV (incl RV)'!E225</f>
        <v>30.23076923076923</v>
      </c>
      <c r="F372" s="140">
        <f>'PAV (incl RV)'!J225</f>
        <v>352.71387755102035</v>
      </c>
      <c r="G372" s="140">
        <f>'PAV (incl RV)'!T225</f>
        <v>575.3418464477035</v>
      </c>
      <c r="H372" s="140">
        <f>'PAV (incl RV)'!O225</f>
        <v>9299.278832802896</v>
      </c>
      <c r="I372" s="140">
        <f>'PAV (incl RV)'!Y225</f>
        <v>2192.224166666667</v>
      </c>
      <c r="J372" s="140">
        <f>'PAV (incl RV)'!AD225</f>
        <v>21.58</v>
      </c>
      <c r="K372" s="140">
        <f>'PAV (incl RV)'!AI225</f>
        <v>4816.43013682583</v>
      </c>
      <c r="L372" s="140">
        <f>'PAV (incl RV)'!AN225</f>
        <v>282.49229094449873</v>
      </c>
      <c r="M372" s="125">
        <f t="shared" si="35"/>
        <v>17570.291920469383</v>
      </c>
      <c r="N372" s="55"/>
      <c r="O372" s="284"/>
      <c r="P372" s="284"/>
      <c r="Q372" s="284"/>
      <c r="R372" s="284"/>
      <c r="S372" s="284"/>
      <c r="T372" s="284"/>
      <c r="U372" s="284"/>
      <c r="V372" s="284"/>
      <c r="W372" s="284"/>
      <c r="X372" s="284"/>
    </row>
    <row r="373" spans="2:24" ht="12.75" outlineLevel="1">
      <c r="B373" s="169" t="s">
        <v>345</v>
      </c>
      <c r="C373" s="169"/>
      <c r="D373" s="169"/>
      <c r="E373" s="140">
        <f>'PAV (incl RV)'!E226</f>
        <v>0</v>
      </c>
      <c r="F373" s="140">
        <f>'PAV (incl RV)'!J226</f>
        <v>10</v>
      </c>
      <c r="G373" s="140">
        <f>'PAV (incl RV)'!T226</f>
        <v>5.1225388904363</v>
      </c>
      <c r="H373" s="140">
        <f>'PAV (incl RV)'!O226</f>
        <v>154.79244723410102</v>
      </c>
      <c r="I373" s="140">
        <f>'PAV (incl RV)'!Y226</f>
        <v>181.59641666666667</v>
      </c>
      <c r="J373" s="140">
        <f>'PAV (incl RV)'!AD226</f>
        <v>0</v>
      </c>
      <c r="K373" s="140">
        <f>'PAV (incl RV)'!AI226</f>
        <v>133.85650974642363</v>
      </c>
      <c r="L373" s="140">
        <f>'PAV (incl RV)'!AN226</f>
        <v>22.228117684996672</v>
      </c>
      <c r="M373" s="125">
        <f t="shared" si="35"/>
        <v>507.5960302226243</v>
      </c>
      <c r="N373" s="55"/>
      <c r="O373" s="284"/>
      <c r="P373" s="284"/>
      <c r="Q373" s="284"/>
      <c r="R373" s="284"/>
      <c r="S373" s="284"/>
      <c r="T373" s="284"/>
      <c r="U373" s="284"/>
      <c r="V373" s="284"/>
      <c r="W373" s="284"/>
      <c r="X373" s="284"/>
    </row>
    <row r="374" spans="2:24" s="44" customFormat="1" ht="12.75" outlineLevel="1">
      <c r="B374" s="170"/>
      <c r="C374" s="170"/>
      <c r="D374" s="170"/>
      <c r="E374" s="47"/>
      <c r="F374" s="47"/>
      <c r="G374" s="47"/>
      <c r="H374" s="47"/>
      <c r="I374" s="47"/>
      <c r="J374" s="47"/>
      <c r="K374" s="47"/>
      <c r="L374" s="47"/>
      <c r="M374" s="55"/>
      <c r="N374" s="47"/>
      <c r="O374" s="281"/>
      <c r="P374" s="281"/>
      <c r="Q374" s="281"/>
      <c r="R374" s="281"/>
      <c r="S374" s="281"/>
      <c r="T374" s="281"/>
      <c r="U374" s="281"/>
      <c r="V374" s="281"/>
      <c r="W374" s="281"/>
      <c r="X374" s="281"/>
    </row>
    <row r="375" spans="2:24" ht="12.75" outlineLevel="1">
      <c r="B375" s="170" t="s">
        <v>230</v>
      </c>
      <c r="C375" s="170"/>
      <c r="D375" s="170"/>
      <c r="E375" s="140">
        <f>'PAV (incl RV)'!E230</f>
        <v>0</v>
      </c>
      <c r="F375" s="140">
        <f>'PAV (incl RV)'!J230</f>
        <v>151046.3333333333</v>
      </c>
      <c r="G375" s="140">
        <f>'PAV (incl RV)'!T230</f>
        <v>3238.3301322237844</v>
      </c>
      <c r="H375" s="140">
        <f>'PAV (incl RV)'!O230</f>
        <v>0</v>
      </c>
      <c r="I375" s="140">
        <f>'PAV (incl RV)'!Y230</f>
        <v>653758.8023525178</v>
      </c>
      <c r="J375" s="140">
        <f>'PAV (incl RV)'!AD230</f>
        <v>5615</v>
      </c>
      <c r="K375" s="140">
        <f>'PAV (incl RV)'!AI230</f>
        <v>212423.55224626875</v>
      </c>
      <c r="L375" s="140">
        <f>'PAV (incl RV)'!AN230</f>
        <v>2302.5</v>
      </c>
      <c r="M375" s="125">
        <f t="shared" si="35"/>
        <v>1028384.5180643437</v>
      </c>
      <c r="N375" s="55"/>
      <c r="O375" s="284"/>
      <c r="P375" s="284"/>
      <c r="Q375" s="284"/>
      <c r="R375" s="284"/>
      <c r="S375" s="284"/>
      <c r="T375" s="284"/>
      <c r="U375" s="284"/>
      <c r="V375" s="284"/>
      <c r="W375" s="284"/>
      <c r="X375" s="284"/>
    </row>
    <row r="376" spans="2:24" ht="12.75" outlineLevel="1">
      <c r="B376" s="170" t="s">
        <v>247</v>
      </c>
      <c r="C376" s="170"/>
      <c r="D376" s="170"/>
      <c r="E376" s="55"/>
      <c r="F376" s="55"/>
      <c r="G376" s="55"/>
      <c r="H376" s="55"/>
      <c r="I376" s="55"/>
      <c r="J376" s="55"/>
      <c r="K376" s="55"/>
      <c r="L376" s="55"/>
      <c r="M376" s="55"/>
      <c r="N376" s="55"/>
      <c r="O376" s="284"/>
      <c r="P376" s="284"/>
      <c r="Q376" s="284"/>
      <c r="R376" s="284"/>
      <c r="S376" s="284"/>
      <c r="T376" s="284"/>
      <c r="U376" s="284"/>
      <c r="V376" s="284"/>
      <c r="W376" s="284"/>
      <c r="X376" s="284"/>
    </row>
    <row r="377" spans="2:24" ht="12.75">
      <c r="B377" s="170" t="s">
        <v>247</v>
      </c>
      <c r="C377" s="170"/>
      <c r="D377" s="170"/>
      <c r="E377" s="66"/>
      <c r="F377" s="66"/>
      <c r="G377" s="66"/>
      <c r="H377" s="66"/>
      <c r="I377" s="66"/>
      <c r="J377" s="66"/>
      <c r="K377" s="66"/>
      <c r="L377" s="66"/>
      <c r="M377" s="66"/>
      <c r="N377" s="66"/>
      <c r="O377" s="66"/>
      <c r="P377" s="66"/>
      <c r="Q377" s="66"/>
      <c r="R377" s="66"/>
      <c r="S377" s="66"/>
      <c r="T377" s="66"/>
      <c r="U377" s="66"/>
      <c r="V377" s="66"/>
      <c r="W377" s="66"/>
      <c r="X377" s="66"/>
    </row>
    <row r="378" spans="2:24" s="42" customFormat="1" ht="12.75">
      <c r="B378" s="78" t="s">
        <v>489</v>
      </c>
      <c r="C378" s="78"/>
      <c r="D378" s="78"/>
      <c r="E378" s="204"/>
      <c r="F378" s="204"/>
      <c r="G378" s="204"/>
      <c r="H378" s="204"/>
      <c r="I378" s="204"/>
      <c r="J378" s="204"/>
      <c r="K378" s="204"/>
      <c r="L378" s="204"/>
      <c r="M378" s="204"/>
      <c r="N378" s="204"/>
      <c r="O378" s="204"/>
      <c r="P378" s="204"/>
      <c r="Q378" s="204"/>
      <c r="R378" s="204"/>
      <c r="S378" s="204"/>
      <c r="T378" s="204"/>
      <c r="U378" s="204"/>
      <c r="V378" s="204"/>
      <c r="W378" s="204"/>
      <c r="X378" s="204"/>
    </row>
    <row r="379" spans="2:24" ht="12.75">
      <c r="B379" s="93"/>
      <c r="C379" s="93"/>
      <c r="D379" s="93"/>
      <c r="E379" s="47"/>
      <c r="F379" s="47"/>
      <c r="G379" s="47"/>
      <c r="H379" s="47"/>
      <c r="I379" s="47"/>
      <c r="J379" s="47"/>
      <c r="K379" s="47"/>
      <c r="L379" s="47"/>
      <c r="M379" s="47"/>
      <c r="N379" s="47"/>
      <c r="O379" s="281"/>
      <c r="P379" s="281"/>
      <c r="Q379" s="281"/>
      <c r="R379" s="281"/>
      <c r="S379" s="281"/>
      <c r="T379" s="281"/>
      <c r="U379" s="281"/>
      <c r="V379" s="281"/>
      <c r="W379" s="281"/>
      <c r="X379" s="281"/>
    </row>
    <row r="380" spans="2:24" ht="12.75" outlineLevel="1">
      <c r="B380" s="279" t="s">
        <v>504</v>
      </c>
      <c r="C380" s="170"/>
      <c r="D380" s="170"/>
      <c r="E380" s="65"/>
      <c r="F380" s="65"/>
      <c r="G380" s="65"/>
      <c r="H380" s="65"/>
      <c r="I380" s="65"/>
      <c r="J380" s="65"/>
      <c r="K380" s="65"/>
      <c r="L380" s="65"/>
      <c r="M380" s="65"/>
      <c r="N380" s="65"/>
      <c r="O380" s="282"/>
      <c r="P380" s="282"/>
      <c r="Q380" s="282"/>
      <c r="R380" s="282"/>
      <c r="S380" s="282"/>
      <c r="T380" s="282"/>
      <c r="U380" s="282"/>
      <c r="V380" s="282"/>
      <c r="W380" s="282"/>
      <c r="X380" s="282"/>
    </row>
    <row r="381" spans="3:24" ht="12.75" outlineLevel="1">
      <c r="C381" s="170"/>
      <c r="D381" s="170"/>
      <c r="E381" s="65"/>
      <c r="F381" s="65"/>
      <c r="G381" s="65"/>
      <c r="H381" s="65"/>
      <c r="I381" s="65"/>
      <c r="J381" s="65"/>
      <c r="K381" s="65"/>
      <c r="L381" s="65"/>
      <c r="M381" s="65"/>
      <c r="N381" s="65"/>
      <c r="O381" s="282"/>
      <c r="P381" s="282"/>
      <c r="Q381" s="282"/>
      <c r="R381" s="282"/>
      <c r="S381" s="282"/>
      <c r="T381" s="282"/>
      <c r="U381" s="282"/>
      <c r="V381" s="282"/>
      <c r="W381" s="282"/>
      <c r="X381" s="282"/>
    </row>
    <row r="382" spans="2:24" ht="12.75" outlineLevel="1">
      <c r="B382" s="172" t="s">
        <v>198</v>
      </c>
      <c r="C382" s="170"/>
      <c r="D382" s="170"/>
      <c r="E382" s="65"/>
      <c r="F382" s="65"/>
      <c r="G382" s="65"/>
      <c r="H382" s="65"/>
      <c r="I382" s="65"/>
      <c r="J382" s="65"/>
      <c r="K382" s="65"/>
      <c r="L382" s="65"/>
      <c r="M382" s="65"/>
      <c r="N382" s="65"/>
      <c r="O382" s="282"/>
      <c r="P382" s="282"/>
      <c r="Q382" s="282"/>
      <c r="R382" s="282"/>
      <c r="S382" s="282"/>
      <c r="T382" s="282"/>
      <c r="U382" s="282"/>
      <c r="V382" s="282"/>
      <c r="W382" s="282"/>
      <c r="X382" s="282"/>
    </row>
    <row r="383" spans="2:33" ht="12.75" outlineLevel="1">
      <c r="B383" s="170" t="s">
        <v>199</v>
      </c>
      <c r="C383" s="170"/>
      <c r="D383" s="170"/>
      <c r="E383" s="45">
        <v>0</v>
      </c>
      <c r="F383" s="45">
        <v>0</v>
      </c>
      <c r="G383" s="45">
        <v>0</v>
      </c>
      <c r="H383" s="45">
        <v>0</v>
      </c>
      <c r="I383" s="45">
        <v>8</v>
      </c>
      <c r="J383" s="45">
        <v>0</v>
      </c>
      <c r="K383" s="45">
        <v>2</v>
      </c>
      <c r="L383" s="45">
        <v>0</v>
      </c>
      <c r="M383" s="125">
        <f>SUM(E383:L383)</f>
        <v>10</v>
      </c>
      <c r="N383" s="47"/>
      <c r="O383" s="285"/>
      <c r="P383" s="281"/>
      <c r="Q383" s="281"/>
      <c r="R383" s="281"/>
      <c r="S383" s="281"/>
      <c r="T383" s="281"/>
      <c r="U383" s="281"/>
      <c r="V383" s="281"/>
      <c r="W383" s="281"/>
      <c r="X383" s="281"/>
      <c r="Z383" s="230"/>
      <c r="AA383" s="230"/>
      <c r="AB383" s="230"/>
      <c r="AC383" s="230"/>
      <c r="AD383" s="230"/>
      <c r="AE383" s="230"/>
      <c r="AF383" s="230"/>
      <c r="AG383" s="230"/>
    </row>
    <row r="384" spans="2:33" ht="12.75" outlineLevel="1">
      <c r="B384" s="170" t="s">
        <v>200</v>
      </c>
      <c r="C384" s="170"/>
      <c r="D384" s="170"/>
      <c r="E384" s="45">
        <v>0</v>
      </c>
      <c r="F384" s="45">
        <v>0</v>
      </c>
      <c r="G384" s="45">
        <v>0</v>
      </c>
      <c r="H384" s="45">
        <v>0</v>
      </c>
      <c r="I384" s="45">
        <v>8025</v>
      </c>
      <c r="J384" s="45">
        <v>0</v>
      </c>
      <c r="K384" s="45">
        <v>268263.87918015104</v>
      </c>
      <c r="L384" s="45">
        <v>0</v>
      </c>
      <c r="M384" s="125">
        <f>SUM(E384:L384)</f>
        <v>276288.87918015104</v>
      </c>
      <c r="N384" s="47"/>
      <c r="O384" s="285"/>
      <c r="P384" s="281"/>
      <c r="Q384" s="281"/>
      <c r="R384" s="281"/>
      <c r="S384" s="281"/>
      <c r="T384" s="281"/>
      <c r="U384" s="281"/>
      <c r="V384" s="281"/>
      <c r="W384" s="281"/>
      <c r="X384" s="281"/>
      <c r="Z384" s="230"/>
      <c r="AA384" s="230"/>
      <c r="AB384" s="230"/>
      <c r="AC384" s="230"/>
      <c r="AD384" s="230"/>
      <c r="AE384" s="230"/>
      <c r="AF384" s="230"/>
      <c r="AG384" s="230"/>
    </row>
    <row r="385" spans="2:33" ht="12.75" outlineLevel="1">
      <c r="B385" s="170" t="s">
        <v>201</v>
      </c>
      <c r="C385" s="170"/>
      <c r="D385" s="170"/>
      <c r="E385" s="45">
        <v>0</v>
      </c>
      <c r="F385" s="45">
        <v>0</v>
      </c>
      <c r="G385" s="45">
        <v>0</v>
      </c>
      <c r="H385" s="45">
        <v>0</v>
      </c>
      <c r="I385" s="45">
        <v>53876.57142857143</v>
      </c>
      <c r="J385" s="45">
        <v>0</v>
      </c>
      <c r="K385" s="45">
        <v>2714118.623655914</v>
      </c>
      <c r="L385" s="45">
        <v>0</v>
      </c>
      <c r="M385" s="125">
        <f>SUM(E385:L385)</f>
        <v>2767995.195084485</v>
      </c>
      <c r="N385" s="47"/>
      <c r="O385" s="285"/>
      <c r="P385" s="281"/>
      <c r="Q385" s="281"/>
      <c r="R385" s="281"/>
      <c r="S385" s="281"/>
      <c r="T385" s="281"/>
      <c r="U385" s="281"/>
      <c r="V385" s="281"/>
      <c r="W385" s="281"/>
      <c r="X385" s="281"/>
      <c r="Z385" s="230"/>
      <c r="AA385" s="230"/>
      <c r="AB385" s="230"/>
      <c r="AC385" s="230"/>
      <c r="AD385" s="230"/>
      <c r="AE385" s="230"/>
      <c r="AF385" s="230"/>
      <c r="AG385" s="230"/>
    </row>
    <row r="386" spans="2:33" ht="12.75" outlineLevel="1">
      <c r="B386" s="170" t="s">
        <v>203</v>
      </c>
      <c r="C386" s="170"/>
      <c r="D386" s="170"/>
      <c r="E386" s="45">
        <v>0</v>
      </c>
      <c r="F386" s="45">
        <v>0</v>
      </c>
      <c r="G386" s="45">
        <v>0</v>
      </c>
      <c r="H386" s="45">
        <v>0</v>
      </c>
      <c r="I386" s="45">
        <v>0</v>
      </c>
      <c r="J386" s="45">
        <v>0</v>
      </c>
      <c r="K386" s="45">
        <v>0</v>
      </c>
      <c r="L386" s="45">
        <v>0</v>
      </c>
      <c r="M386" s="125">
        <f>SUM(E386:L386)</f>
        <v>0</v>
      </c>
      <c r="N386" s="47"/>
      <c r="O386" s="285"/>
      <c r="P386" s="281"/>
      <c r="Q386" s="281"/>
      <c r="R386" s="281"/>
      <c r="S386" s="281"/>
      <c r="T386" s="281"/>
      <c r="U386" s="281"/>
      <c r="V386" s="281"/>
      <c r="W386" s="281"/>
      <c r="X386" s="281"/>
      <c r="Z386" s="230"/>
      <c r="AA386" s="230"/>
      <c r="AB386" s="230"/>
      <c r="AC386" s="230"/>
      <c r="AD386" s="230"/>
      <c r="AE386" s="230"/>
      <c r="AF386" s="230"/>
      <c r="AG386" s="230"/>
    </row>
    <row r="387" spans="2:33" ht="12.75" outlineLevel="1">
      <c r="B387" s="170" t="s">
        <v>247</v>
      </c>
      <c r="C387" s="170"/>
      <c r="D387" s="170"/>
      <c r="E387" s="48"/>
      <c r="F387" s="48"/>
      <c r="G387" s="49"/>
      <c r="H387" s="49"/>
      <c r="I387" s="48"/>
      <c r="J387" s="48"/>
      <c r="K387" s="49"/>
      <c r="L387" s="49"/>
      <c r="M387" s="47"/>
      <c r="N387" s="47"/>
      <c r="O387" s="285"/>
      <c r="P387" s="281"/>
      <c r="Q387" s="281"/>
      <c r="R387" s="281"/>
      <c r="S387" s="281"/>
      <c r="T387" s="281"/>
      <c r="U387" s="281"/>
      <c r="V387" s="281"/>
      <c r="W387" s="281"/>
      <c r="X387" s="281"/>
      <c r="Z387" s="230"/>
      <c r="AA387" s="230"/>
      <c r="AB387" s="230"/>
      <c r="AC387" s="230"/>
      <c r="AD387" s="230"/>
      <c r="AE387" s="230"/>
      <c r="AF387" s="230"/>
      <c r="AG387" s="230"/>
    </row>
    <row r="388" spans="2:33" ht="12.75" outlineLevel="1">
      <c r="B388" s="172" t="s">
        <v>204</v>
      </c>
      <c r="C388" s="170"/>
      <c r="D388" s="170"/>
      <c r="E388" s="48"/>
      <c r="F388" s="48"/>
      <c r="G388" s="49"/>
      <c r="H388" s="49"/>
      <c r="I388" s="48"/>
      <c r="J388" s="48"/>
      <c r="K388" s="49"/>
      <c r="L388" s="49"/>
      <c r="M388" s="47"/>
      <c r="N388" s="47"/>
      <c r="O388" s="285"/>
      <c r="P388" s="281"/>
      <c r="Q388" s="281"/>
      <c r="R388" s="281"/>
      <c r="S388" s="281"/>
      <c r="T388" s="281"/>
      <c r="U388" s="281"/>
      <c r="V388" s="281"/>
      <c r="W388" s="281"/>
      <c r="X388" s="281"/>
      <c r="Z388" s="230"/>
      <c r="AA388" s="230"/>
      <c r="AB388" s="230"/>
      <c r="AC388" s="230"/>
      <c r="AD388" s="230"/>
      <c r="AE388" s="230"/>
      <c r="AF388" s="230"/>
      <c r="AG388" s="230"/>
    </row>
    <row r="389" spans="2:33" ht="12.75" outlineLevel="1">
      <c r="B389" s="170" t="s">
        <v>199</v>
      </c>
      <c r="C389" s="170"/>
      <c r="D389" s="170"/>
      <c r="E389" s="45">
        <v>0</v>
      </c>
      <c r="F389" s="45">
        <v>0</v>
      </c>
      <c r="G389" s="45">
        <v>0</v>
      </c>
      <c r="H389" s="45">
        <v>0</v>
      </c>
      <c r="I389" s="45">
        <v>0</v>
      </c>
      <c r="J389" s="45">
        <v>0</v>
      </c>
      <c r="K389" s="45">
        <v>5.992166666666667</v>
      </c>
      <c r="L389" s="45">
        <v>0</v>
      </c>
      <c r="M389" s="125">
        <f>SUM(E389:L389)</f>
        <v>5.992166666666667</v>
      </c>
      <c r="N389" s="47"/>
      <c r="O389" s="285"/>
      <c r="P389" s="281"/>
      <c r="Q389" s="281"/>
      <c r="R389" s="281"/>
      <c r="S389" s="281"/>
      <c r="T389" s="281"/>
      <c r="U389" s="281"/>
      <c r="V389" s="281"/>
      <c r="W389" s="281"/>
      <c r="X389" s="281"/>
      <c r="Z389" s="230"/>
      <c r="AA389" s="230"/>
      <c r="AB389" s="230"/>
      <c r="AC389" s="230"/>
      <c r="AD389" s="230"/>
      <c r="AE389" s="230"/>
      <c r="AF389" s="230"/>
      <c r="AG389" s="230"/>
    </row>
    <row r="390" spans="2:33" ht="12.75" outlineLevel="1">
      <c r="B390" s="170" t="s">
        <v>200</v>
      </c>
      <c r="C390" s="170"/>
      <c r="D390" s="170"/>
      <c r="E390" s="45">
        <v>0</v>
      </c>
      <c r="F390" s="45">
        <v>0</v>
      </c>
      <c r="G390" s="45">
        <v>0</v>
      </c>
      <c r="H390" s="45">
        <v>0</v>
      </c>
      <c r="I390" s="45">
        <v>0</v>
      </c>
      <c r="J390" s="45">
        <v>0</v>
      </c>
      <c r="K390" s="45">
        <v>26234.713362068967</v>
      </c>
      <c r="L390" s="45">
        <v>0</v>
      </c>
      <c r="M390" s="125">
        <f>SUM(E390:L390)</f>
        <v>26234.713362068967</v>
      </c>
      <c r="N390" s="47"/>
      <c r="O390" s="285"/>
      <c r="P390" s="281"/>
      <c r="Q390" s="281"/>
      <c r="R390" s="281"/>
      <c r="S390" s="281"/>
      <c r="T390" s="281"/>
      <c r="U390" s="281"/>
      <c r="V390" s="281"/>
      <c r="W390" s="281"/>
      <c r="X390" s="281"/>
      <c r="Z390" s="230"/>
      <c r="AA390" s="230"/>
      <c r="AB390" s="230"/>
      <c r="AC390" s="230"/>
      <c r="AD390" s="230"/>
      <c r="AE390" s="230"/>
      <c r="AF390" s="230"/>
      <c r="AG390" s="230"/>
    </row>
    <row r="391" spans="2:33" ht="12.75" outlineLevel="1">
      <c r="B391" s="170" t="s">
        <v>205</v>
      </c>
      <c r="C391" s="170"/>
      <c r="D391" s="170"/>
      <c r="E391" s="45">
        <v>0</v>
      </c>
      <c r="F391" s="45">
        <v>0</v>
      </c>
      <c r="G391" s="45">
        <v>0</v>
      </c>
      <c r="H391" s="45">
        <v>0</v>
      </c>
      <c r="I391" s="45">
        <v>0</v>
      </c>
      <c r="J391" s="45">
        <v>0</v>
      </c>
      <c r="K391" s="45">
        <v>118160.5</v>
      </c>
      <c r="L391" s="45">
        <v>0</v>
      </c>
      <c r="M391" s="125">
        <f>SUM(E391:L391)</f>
        <v>118160.5</v>
      </c>
      <c r="N391" s="47"/>
      <c r="O391" s="285"/>
      <c r="P391" s="281"/>
      <c r="Q391" s="281"/>
      <c r="R391" s="281"/>
      <c r="S391" s="281"/>
      <c r="T391" s="281"/>
      <c r="U391" s="281"/>
      <c r="V391" s="281"/>
      <c r="W391" s="281"/>
      <c r="X391" s="281"/>
      <c r="Z391" s="230"/>
      <c r="AA391" s="230"/>
      <c r="AB391" s="230"/>
      <c r="AC391" s="230"/>
      <c r="AD391" s="230"/>
      <c r="AE391" s="230"/>
      <c r="AF391" s="230"/>
      <c r="AG391" s="230"/>
    </row>
    <row r="392" spans="2:33" ht="12.75" outlineLevel="1">
      <c r="B392" s="170" t="s">
        <v>203</v>
      </c>
      <c r="C392" s="170"/>
      <c r="D392" s="170"/>
      <c r="E392" s="45">
        <v>0</v>
      </c>
      <c r="F392" s="45">
        <v>0</v>
      </c>
      <c r="G392" s="45">
        <v>0</v>
      </c>
      <c r="H392" s="45">
        <v>0</v>
      </c>
      <c r="I392" s="45">
        <v>0</v>
      </c>
      <c r="J392" s="45">
        <v>0</v>
      </c>
      <c r="K392" s="45">
        <v>4504166.666666667</v>
      </c>
      <c r="L392" s="45">
        <v>0</v>
      </c>
      <c r="M392" s="125">
        <f>SUM(E392:L392)</f>
        <v>4504166.666666667</v>
      </c>
      <c r="N392" s="47"/>
      <c r="O392" s="285"/>
      <c r="P392" s="281"/>
      <c r="Q392" s="281"/>
      <c r="R392" s="281"/>
      <c r="S392" s="281"/>
      <c r="T392" s="281"/>
      <c r="U392" s="281"/>
      <c r="V392" s="281"/>
      <c r="W392" s="281"/>
      <c r="X392" s="281"/>
      <c r="Z392" s="230"/>
      <c r="AA392" s="230"/>
      <c r="AB392" s="230"/>
      <c r="AC392" s="230"/>
      <c r="AD392" s="230"/>
      <c r="AE392" s="230"/>
      <c r="AF392" s="230"/>
      <c r="AG392" s="230"/>
    </row>
    <row r="393" spans="2:33" ht="12.75" outlineLevel="1">
      <c r="B393" s="170" t="s">
        <v>247</v>
      </c>
      <c r="C393" s="170"/>
      <c r="D393" s="170"/>
      <c r="E393" s="48"/>
      <c r="F393" s="48"/>
      <c r="G393" s="49"/>
      <c r="H393" s="49"/>
      <c r="I393" s="48"/>
      <c r="J393" s="48"/>
      <c r="K393" s="49"/>
      <c r="L393" s="49"/>
      <c r="M393" s="47"/>
      <c r="N393" s="47"/>
      <c r="O393" s="285"/>
      <c r="P393" s="281"/>
      <c r="Q393" s="281"/>
      <c r="R393" s="281"/>
      <c r="S393" s="281"/>
      <c r="T393" s="281"/>
      <c r="U393" s="281"/>
      <c r="V393" s="281"/>
      <c r="W393" s="281"/>
      <c r="X393" s="281"/>
      <c r="Z393" s="230"/>
      <c r="AA393" s="230"/>
      <c r="AB393" s="230"/>
      <c r="AC393" s="230"/>
      <c r="AD393" s="230"/>
      <c r="AE393" s="230"/>
      <c r="AF393" s="230"/>
      <c r="AG393" s="230"/>
    </row>
    <row r="394" spans="2:33" ht="12.75" outlineLevel="1">
      <c r="B394" s="172" t="s">
        <v>206</v>
      </c>
      <c r="C394" s="170"/>
      <c r="D394" s="170"/>
      <c r="E394" s="48"/>
      <c r="F394" s="48"/>
      <c r="G394" s="49"/>
      <c r="H394" s="49"/>
      <c r="I394" s="48"/>
      <c r="J394" s="48"/>
      <c r="K394" s="49"/>
      <c r="L394" s="49"/>
      <c r="M394" s="47"/>
      <c r="N394" s="47"/>
      <c r="O394" s="285"/>
      <c r="P394" s="281"/>
      <c r="Q394" s="281"/>
      <c r="R394" s="281"/>
      <c r="S394" s="281"/>
      <c r="T394" s="281"/>
      <c r="U394" s="281"/>
      <c r="V394" s="281"/>
      <c r="W394" s="281"/>
      <c r="X394" s="281"/>
      <c r="Z394" s="230"/>
      <c r="AA394" s="230"/>
      <c r="AB394" s="230"/>
      <c r="AC394" s="230"/>
      <c r="AD394" s="230"/>
      <c r="AE394" s="230"/>
      <c r="AF394" s="230"/>
      <c r="AG394" s="230"/>
    </row>
    <row r="395" spans="2:33" ht="12.75" outlineLevel="1">
      <c r="B395" s="170" t="s">
        <v>199</v>
      </c>
      <c r="C395" s="170"/>
      <c r="D395" s="170"/>
      <c r="E395" s="45">
        <v>0</v>
      </c>
      <c r="F395" s="45">
        <v>1.0833333333333333</v>
      </c>
      <c r="G395" s="45">
        <v>0</v>
      </c>
      <c r="H395" s="45">
        <v>3</v>
      </c>
      <c r="I395" s="45">
        <v>12.47360623297899</v>
      </c>
      <c r="J395" s="45">
        <v>0</v>
      </c>
      <c r="K395" s="45">
        <v>65.51085869565217</v>
      </c>
      <c r="L395" s="45">
        <v>0</v>
      </c>
      <c r="M395" s="125">
        <f>SUM(E395:L395)</f>
        <v>82.0677982619645</v>
      </c>
      <c r="N395" s="47"/>
      <c r="O395" s="285"/>
      <c r="P395" s="281"/>
      <c r="Q395" s="281"/>
      <c r="R395" s="281"/>
      <c r="S395" s="281"/>
      <c r="T395" s="281"/>
      <c r="U395" s="281"/>
      <c r="V395" s="281"/>
      <c r="W395" s="281"/>
      <c r="X395" s="281"/>
      <c r="Z395" s="230"/>
      <c r="AA395" s="230"/>
      <c r="AB395" s="230"/>
      <c r="AC395" s="230"/>
      <c r="AD395" s="230"/>
      <c r="AE395" s="230"/>
      <c r="AF395" s="230"/>
      <c r="AG395" s="230"/>
    </row>
    <row r="396" spans="2:33" ht="12.75" outlineLevel="1">
      <c r="B396" s="170" t="s">
        <v>200</v>
      </c>
      <c r="C396" s="170"/>
      <c r="D396" s="170"/>
      <c r="E396" s="45">
        <v>0</v>
      </c>
      <c r="F396" s="45">
        <v>22019</v>
      </c>
      <c r="G396" s="45">
        <v>0</v>
      </c>
      <c r="H396" s="45">
        <v>54378.22518765638</v>
      </c>
      <c r="I396" s="45">
        <v>115955.89874325563</v>
      </c>
      <c r="J396" s="45">
        <v>0</v>
      </c>
      <c r="K396" s="45">
        <v>669129.5859580053</v>
      </c>
      <c r="L396" s="45">
        <v>0</v>
      </c>
      <c r="M396" s="125">
        <f>SUM(E396:L396)</f>
        <v>861482.7098889173</v>
      </c>
      <c r="N396" s="47"/>
      <c r="O396" s="285"/>
      <c r="P396" s="281"/>
      <c r="Q396" s="281"/>
      <c r="R396" s="281"/>
      <c r="S396" s="281"/>
      <c r="T396" s="281"/>
      <c r="U396" s="281"/>
      <c r="V396" s="281"/>
      <c r="W396" s="281"/>
      <c r="X396" s="281"/>
      <c r="Z396" s="230"/>
      <c r="AA396" s="230"/>
      <c r="AB396" s="230"/>
      <c r="AC396" s="230"/>
      <c r="AD396" s="230"/>
      <c r="AE396" s="230"/>
      <c r="AF396" s="230"/>
      <c r="AG396" s="230"/>
    </row>
    <row r="397" spans="2:33" ht="12.75" outlineLevel="1">
      <c r="B397" s="170" t="s">
        <v>201</v>
      </c>
      <c r="C397" s="170"/>
      <c r="D397" s="170"/>
      <c r="E397" s="45">
        <v>0</v>
      </c>
      <c r="F397" s="45">
        <v>196972</v>
      </c>
      <c r="G397" s="45">
        <v>0</v>
      </c>
      <c r="H397" s="45">
        <v>347301.9834710744</v>
      </c>
      <c r="I397" s="45">
        <v>1142836.7055135295</v>
      </c>
      <c r="J397" s="45">
        <v>0</v>
      </c>
      <c r="K397" s="45">
        <v>5991881.858823529</v>
      </c>
      <c r="L397" s="45">
        <v>0</v>
      </c>
      <c r="M397" s="125">
        <f>SUM(E397:L397)</f>
        <v>7678992.547808133</v>
      </c>
      <c r="N397" s="47"/>
      <c r="O397" s="285"/>
      <c r="P397" s="281"/>
      <c r="Q397" s="281"/>
      <c r="R397" s="281"/>
      <c r="S397" s="281"/>
      <c r="T397" s="281"/>
      <c r="U397" s="281"/>
      <c r="V397" s="281"/>
      <c r="W397" s="281"/>
      <c r="X397" s="281"/>
      <c r="Z397" s="230"/>
      <c r="AA397" s="230"/>
      <c r="AB397" s="230"/>
      <c r="AC397" s="230"/>
      <c r="AD397" s="230"/>
      <c r="AE397" s="230"/>
      <c r="AF397" s="230"/>
      <c r="AG397" s="230"/>
    </row>
    <row r="398" spans="2:33" ht="12.75" outlineLevel="1">
      <c r="B398" s="170" t="s">
        <v>203</v>
      </c>
      <c r="C398" s="170"/>
      <c r="D398" s="170"/>
      <c r="E398" s="45">
        <v>0</v>
      </c>
      <c r="F398" s="45">
        <v>0</v>
      </c>
      <c r="G398" s="45">
        <v>0</v>
      </c>
      <c r="H398" s="45">
        <v>6272967.2727272725</v>
      </c>
      <c r="I398" s="45">
        <v>0</v>
      </c>
      <c r="J398" s="45">
        <v>0</v>
      </c>
      <c r="K398" s="45">
        <v>4085476.666666666</v>
      </c>
      <c r="L398" s="45">
        <v>0</v>
      </c>
      <c r="M398" s="125">
        <f>SUM(E398:L398)</f>
        <v>10358443.939393938</v>
      </c>
      <c r="N398" s="47"/>
      <c r="O398" s="285"/>
      <c r="P398" s="281"/>
      <c r="Q398" s="281"/>
      <c r="R398" s="281"/>
      <c r="S398" s="281"/>
      <c r="T398" s="281"/>
      <c r="U398" s="281"/>
      <c r="V398" s="281"/>
      <c r="W398" s="281"/>
      <c r="X398" s="281"/>
      <c r="Z398" s="230"/>
      <c r="AA398" s="230"/>
      <c r="AB398" s="230"/>
      <c r="AC398" s="230"/>
      <c r="AD398" s="230"/>
      <c r="AE398" s="230"/>
      <c r="AF398" s="230"/>
      <c r="AG398" s="230"/>
    </row>
    <row r="399" spans="2:33" ht="12.75" outlineLevel="1">
      <c r="B399" s="170" t="s">
        <v>247</v>
      </c>
      <c r="C399" s="170"/>
      <c r="D399" s="170"/>
      <c r="E399" s="48"/>
      <c r="F399" s="48"/>
      <c r="G399" s="49"/>
      <c r="H399" s="49"/>
      <c r="I399" s="48"/>
      <c r="J399" s="48"/>
      <c r="K399" s="49"/>
      <c r="L399" s="49"/>
      <c r="M399" s="47"/>
      <c r="N399" s="47"/>
      <c r="O399" s="285"/>
      <c r="P399" s="281"/>
      <c r="Q399" s="281"/>
      <c r="R399" s="281"/>
      <c r="S399" s="281"/>
      <c r="T399" s="281"/>
      <c r="U399" s="281"/>
      <c r="V399" s="281"/>
      <c r="W399" s="281"/>
      <c r="X399" s="281"/>
      <c r="Z399" s="230"/>
      <c r="AA399" s="230"/>
      <c r="AB399" s="230"/>
      <c r="AC399" s="230"/>
      <c r="AD399" s="230"/>
      <c r="AE399" s="230"/>
      <c r="AF399" s="230"/>
      <c r="AG399" s="230"/>
    </row>
    <row r="400" spans="2:33" ht="12.75" outlineLevel="1">
      <c r="B400" s="172" t="s">
        <v>207</v>
      </c>
      <c r="C400" s="170"/>
      <c r="D400" s="170"/>
      <c r="E400" s="48"/>
      <c r="F400" s="48"/>
      <c r="G400" s="49"/>
      <c r="H400" s="49"/>
      <c r="I400" s="48"/>
      <c r="J400" s="48"/>
      <c r="K400" s="49"/>
      <c r="L400" s="49"/>
      <c r="M400" s="47"/>
      <c r="N400" s="47"/>
      <c r="O400" s="285"/>
      <c r="P400" s="281"/>
      <c r="Q400" s="281"/>
      <c r="R400" s="281"/>
      <c r="S400" s="281"/>
      <c r="T400" s="281"/>
      <c r="U400" s="281"/>
      <c r="V400" s="281"/>
      <c r="W400" s="281"/>
      <c r="X400" s="281"/>
      <c r="Z400" s="230"/>
      <c r="AA400" s="230"/>
      <c r="AB400" s="230"/>
      <c r="AC400" s="230"/>
      <c r="AD400" s="230"/>
      <c r="AE400" s="230"/>
      <c r="AF400" s="230"/>
      <c r="AG400" s="230"/>
    </row>
    <row r="401" spans="2:33" ht="12.75" outlineLevel="1">
      <c r="B401" s="170" t="s">
        <v>199</v>
      </c>
      <c r="C401" s="170"/>
      <c r="D401" s="170"/>
      <c r="E401" s="45">
        <v>0</v>
      </c>
      <c r="F401" s="45">
        <v>0</v>
      </c>
      <c r="G401" s="45">
        <v>0</v>
      </c>
      <c r="H401" s="45">
        <v>1</v>
      </c>
      <c r="I401" s="45">
        <v>12</v>
      </c>
      <c r="J401" s="45">
        <v>0</v>
      </c>
      <c r="K401" s="45">
        <v>8.15757608695652</v>
      </c>
      <c r="L401" s="45">
        <v>0</v>
      </c>
      <c r="M401" s="125">
        <f>SUM(E401:L401)</f>
        <v>21.15757608695652</v>
      </c>
      <c r="N401" s="47"/>
      <c r="O401" s="285"/>
      <c r="P401" s="281"/>
      <c r="Q401" s="281"/>
      <c r="R401" s="281"/>
      <c r="S401" s="281"/>
      <c r="T401" s="281"/>
      <c r="U401" s="281"/>
      <c r="V401" s="281"/>
      <c r="W401" s="281"/>
      <c r="X401" s="281"/>
      <c r="Z401" s="230"/>
      <c r="AA401" s="230"/>
      <c r="AB401" s="230"/>
      <c r="AC401" s="230"/>
      <c r="AD401" s="230"/>
      <c r="AE401" s="230"/>
      <c r="AF401" s="230"/>
      <c r="AG401" s="230"/>
    </row>
    <row r="402" spans="2:33" ht="12.75" outlineLevel="1">
      <c r="B402" s="170" t="s">
        <v>200</v>
      </c>
      <c r="C402" s="170"/>
      <c r="D402" s="170"/>
      <c r="E402" s="45">
        <v>0</v>
      </c>
      <c r="F402" s="45">
        <v>0</v>
      </c>
      <c r="G402" s="45">
        <v>0</v>
      </c>
      <c r="H402" s="45">
        <v>5072</v>
      </c>
      <c r="I402" s="45">
        <v>69147.5</v>
      </c>
      <c r="J402" s="45">
        <v>0</v>
      </c>
      <c r="K402" s="45">
        <v>186411.87401574804</v>
      </c>
      <c r="L402" s="45">
        <v>0</v>
      </c>
      <c r="M402" s="125">
        <f>SUM(E402:L402)</f>
        <v>260631.37401574804</v>
      </c>
      <c r="N402" s="47"/>
      <c r="O402" s="285"/>
      <c r="P402" s="281"/>
      <c r="Q402" s="281"/>
      <c r="R402" s="281"/>
      <c r="S402" s="281"/>
      <c r="T402" s="281"/>
      <c r="U402" s="281"/>
      <c r="V402" s="281"/>
      <c r="W402" s="281"/>
      <c r="X402" s="281"/>
      <c r="Z402" s="230"/>
      <c r="AA402" s="230"/>
      <c r="AB402" s="230"/>
      <c r="AC402" s="230"/>
      <c r="AD402" s="230"/>
      <c r="AE402" s="230"/>
      <c r="AF402" s="230"/>
      <c r="AG402" s="230"/>
    </row>
    <row r="403" spans="2:33" ht="12.75" outlineLevel="1">
      <c r="B403" s="170" t="s">
        <v>205</v>
      </c>
      <c r="C403" s="170"/>
      <c r="D403" s="170"/>
      <c r="E403" s="45">
        <v>0</v>
      </c>
      <c r="F403" s="45">
        <v>0</v>
      </c>
      <c r="G403" s="45">
        <v>0</v>
      </c>
      <c r="H403" s="45">
        <v>35083.63636363636</v>
      </c>
      <c r="I403" s="45">
        <v>1017475</v>
      </c>
      <c r="J403" s="45">
        <v>0</v>
      </c>
      <c r="K403" s="45">
        <v>803503.0508474576</v>
      </c>
      <c r="L403" s="45">
        <v>0</v>
      </c>
      <c r="M403" s="125">
        <f>SUM(E403:L403)</f>
        <v>1856061.687211094</v>
      </c>
      <c r="N403" s="47"/>
      <c r="O403" s="285"/>
      <c r="P403" s="281"/>
      <c r="Q403" s="281"/>
      <c r="R403" s="281"/>
      <c r="S403" s="281"/>
      <c r="T403" s="281"/>
      <c r="U403" s="281"/>
      <c r="V403" s="281"/>
      <c r="W403" s="281"/>
      <c r="X403" s="281"/>
      <c r="Z403" s="230"/>
      <c r="AA403" s="230"/>
      <c r="AB403" s="230"/>
      <c r="AC403" s="230"/>
      <c r="AD403" s="230"/>
      <c r="AE403" s="230"/>
      <c r="AF403" s="230"/>
      <c r="AG403" s="230"/>
    </row>
    <row r="404" spans="2:33" ht="12.75" outlineLevel="1">
      <c r="B404" s="170" t="s">
        <v>203</v>
      </c>
      <c r="C404" s="170"/>
      <c r="D404" s="170"/>
      <c r="E404" s="45">
        <v>0</v>
      </c>
      <c r="F404" s="45">
        <v>0</v>
      </c>
      <c r="G404" s="45">
        <v>0</v>
      </c>
      <c r="H404" s="45">
        <v>1381912.7272727273</v>
      </c>
      <c r="I404" s="45">
        <v>0</v>
      </c>
      <c r="J404" s="45">
        <v>0</v>
      </c>
      <c r="K404" s="45">
        <v>-25968.333333333332</v>
      </c>
      <c r="L404" s="45">
        <v>0</v>
      </c>
      <c r="M404" s="125">
        <f>SUM(E404:L404)</f>
        <v>1355944.393939394</v>
      </c>
      <c r="N404" s="47"/>
      <c r="O404" s="285"/>
      <c r="P404" s="281"/>
      <c r="Q404" s="281"/>
      <c r="R404" s="281"/>
      <c r="S404" s="281"/>
      <c r="T404" s="281"/>
      <c r="U404" s="281"/>
      <c r="V404" s="281"/>
      <c r="W404" s="281"/>
      <c r="X404" s="281"/>
      <c r="Z404" s="230"/>
      <c r="AA404" s="230"/>
      <c r="AB404" s="230"/>
      <c r="AC404" s="230"/>
      <c r="AD404" s="230"/>
      <c r="AE404" s="230"/>
      <c r="AF404" s="230"/>
      <c r="AG404" s="230"/>
    </row>
    <row r="405" spans="2:33" ht="12.75" outlineLevel="1">
      <c r="B405" s="170" t="s">
        <v>247</v>
      </c>
      <c r="C405" s="170"/>
      <c r="D405" s="170"/>
      <c r="E405" s="51"/>
      <c r="F405" s="51"/>
      <c r="G405" s="49"/>
      <c r="H405" s="49"/>
      <c r="I405" s="51"/>
      <c r="J405" s="51"/>
      <c r="K405" s="49"/>
      <c r="L405" s="49"/>
      <c r="M405" s="47"/>
      <c r="N405" s="47"/>
      <c r="O405" s="285"/>
      <c r="P405" s="281"/>
      <c r="Q405" s="281"/>
      <c r="R405" s="281"/>
      <c r="S405" s="281"/>
      <c r="T405" s="281"/>
      <c r="U405" s="281"/>
      <c r="V405" s="281"/>
      <c r="W405" s="281"/>
      <c r="X405" s="281"/>
      <c r="Z405" s="230"/>
      <c r="AA405" s="230"/>
      <c r="AB405" s="230"/>
      <c r="AC405" s="230"/>
      <c r="AD405" s="230"/>
      <c r="AE405" s="230"/>
      <c r="AF405" s="230"/>
      <c r="AG405" s="230"/>
    </row>
    <row r="406" spans="2:33" ht="12.75" outlineLevel="1">
      <c r="B406" s="172" t="s">
        <v>208</v>
      </c>
      <c r="C406" s="170"/>
      <c r="D406" s="170"/>
      <c r="E406" s="48"/>
      <c r="F406" s="48"/>
      <c r="G406" s="49"/>
      <c r="H406" s="49"/>
      <c r="I406" s="48"/>
      <c r="J406" s="48"/>
      <c r="K406" s="49"/>
      <c r="L406" s="49"/>
      <c r="M406" s="47"/>
      <c r="N406" s="47"/>
      <c r="O406" s="285"/>
      <c r="P406" s="281"/>
      <c r="Q406" s="281"/>
      <c r="R406" s="281"/>
      <c r="S406" s="281"/>
      <c r="T406" s="281"/>
      <c r="U406" s="281"/>
      <c r="V406" s="281"/>
      <c r="W406" s="281"/>
      <c r="X406" s="281"/>
      <c r="Z406" s="230"/>
      <c r="AA406" s="230"/>
      <c r="AB406" s="230"/>
      <c r="AC406" s="230"/>
      <c r="AD406" s="230"/>
      <c r="AE406" s="230"/>
      <c r="AF406" s="230"/>
      <c r="AG406" s="230"/>
    </row>
    <row r="407" spans="2:33" ht="12.75" outlineLevel="1">
      <c r="B407" s="170" t="s">
        <v>199</v>
      </c>
      <c r="C407" s="170"/>
      <c r="D407" s="170"/>
      <c r="E407" s="45">
        <v>0</v>
      </c>
      <c r="F407" s="45">
        <v>42</v>
      </c>
      <c r="G407" s="45">
        <v>0.9966573009020964</v>
      </c>
      <c r="H407" s="45">
        <v>177.25550197628456</v>
      </c>
      <c r="I407" s="45">
        <v>296.3417823641036</v>
      </c>
      <c r="J407" s="45">
        <v>0</v>
      </c>
      <c r="K407" s="45">
        <v>107.25830072463766</v>
      </c>
      <c r="L407" s="45">
        <v>1.1166666666666667</v>
      </c>
      <c r="M407" s="125">
        <f>SUM(E407:L407)</f>
        <v>624.9689090325946</v>
      </c>
      <c r="N407" s="47"/>
      <c r="O407" s="285"/>
      <c r="P407" s="281"/>
      <c r="Q407" s="281"/>
      <c r="R407" s="281"/>
      <c r="S407" s="281"/>
      <c r="T407" s="281"/>
      <c r="U407" s="281"/>
      <c r="V407" s="281"/>
      <c r="W407" s="281"/>
      <c r="X407" s="281"/>
      <c r="Z407" s="230"/>
      <c r="AA407" s="230"/>
      <c r="AB407" s="230"/>
      <c r="AC407" s="230"/>
      <c r="AD407" s="230"/>
      <c r="AE407" s="230"/>
      <c r="AF407" s="230"/>
      <c r="AG407" s="230"/>
    </row>
    <row r="408" spans="2:33" ht="12.75" outlineLevel="1">
      <c r="B408" s="170" t="s">
        <v>200</v>
      </c>
      <c r="C408" s="170"/>
      <c r="D408" s="170"/>
      <c r="E408" s="45">
        <v>0</v>
      </c>
      <c r="F408" s="45">
        <v>74330.16666666666</v>
      </c>
      <c r="G408" s="45">
        <v>14935.6968584645</v>
      </c>
      <c r="H408" s="45">
        <v>1316544.5550110263</v>
      </c>
      <c r="I408" s="45">
        <v>1023162.8864346296</v>
      </c>
      <c r="J408" s="45">
        <v>0</v>
      </c>
      <c r="K408" s="45">
        <v>411324.42055555555</v>
      </c>
      <c r="L408" s="45">
        <v>18335.333333333332</v>
      </c>
      <c r="M408" s="125">
        <f>SUM(E408:L408)</f>
        <v>2858633.058859676</v>
      </c>
      <c r="N408" s="47"/>
      <c r="O408" s="285"/>
      <c r="P408" s="281"/>
      <c r="Q408" s="281"/>
      <c r="R408" s="281"/>
      <c r="S408" s="281"/>
      <c r="T408" s="281"/>
      <c r="U408" s="281"/>
      <c r="V408" s="281"/>
      <c r="W408" s="281"/>
      <c r="X408" s="281"/>
      <c r="Z408" s="230"/>
      <c r="AA408" s="230"/>
      <c r="AB408" s="230"/>
      <c r="AC408" s="230"/>
      <c r="AD408" s="230"/>
      <c r="AE408" s="230"/>
      <c r="AF408" s="230"/>
      <c r="AG408" s="230"/>
    </row>
    <row r="409" spans="2:33" ht="12.75" outlineLevel="1">
      <c r="B409" s="170" t="s">
        <v>201</v>
      </c>
      <c r="C409" s="170"/>
      <c r="D409" s="170"/>
      <c r="E409" s="45">
        <v>0</v>
      </c>
      <c r="F409" s="45">
        <v>435330.8571428571</v>
      </c>
      <c r="G409" s="45">
        <v>161377.4927345636</v>
      </c>
      <c r="H409" s="45">
        <v>13085783.290161889</v>
      </c>
      <c r="I409" s="45">
        <v>9580235.367711445</v>
      </c>
      <c r="J409" s="45">
        <v>0</v>
      </c>
      <c r="K409" s="45">
        <v>3717480.7754010702</v>
      </c>
      <c r="L409" s="45">
        <v>178391.2015503876</v>
      </c>
      <c r="M409" s="125">
        <f>SUM(E409:L409)</f>
        <v>27158598.984702215</v>
      </c>
      <c r="N409" s="47"/>
      <c r="O409" s="285"/>
      <c r="P409" s="281"/>
      <c r="Q409" s="281"/>
      <c r="R409" s="281"/>
      <c r="S409" s="281"/>
      <c r="T409" s="281"/>
      <c r="U409" s="281"/>
      <c r="V409" s="281"/>
      <c r="W409" s="281"/>
      <c r="X409" s="281"/>
      <c r="Z409" s="230"/>
      <c r="AA409" s="230"/>
      <c r="AB409" s="230"/>
      <c r="AC409" s="230"/>
      <c r="AD409" s="230"/>
      <c r="AE409" s="230"/>
      <c r="AF409" s="230"/>
      <c r="AG409" s="230"/>
    </row>
    <row r="410" spans="2:33" ht="12.75" outlineLevel="1">
      <c r="B410" s="170" t="s">
        <v>203</v>
      </c>
      <c r="C410" s="170"/>
      <c r="D410" s="170"/>
      <c r="E410" s="45">
        <v>0</v>
      </c>
      <c r="F410" s="45">
        <v>0</v>
      </c>
      <c r="G410" s="45">
        <v>0</v>
      </c>
      <c r="H410" s="45">
        <v>46422245.45454545</v>
      </c>
      <c r="I410" s="45">
        <v>0</v>
      </c>
      <c r="J410" s="45">
        <v>0</v>
      </c>
      <c r="K410" s="45">
        <v>12443976.666666666</v>
      </c>
      <c r="L410" s="45">
        <v>0</v>
      </c>
      <c r="M410" s="125">
        <f>SUM(E410:L410)</f>
        <v>58866222.12121212</v>
      </c>
      <c r="N410" s="47"/>
      <c r="O410" s="285"/>
      <c r="P410" s="281"/>
      <c r="Q410" s="281"/>
      <c r="R410" s="281"/>
      <c r="S410" s="281"/>
      <c r="T410" s="281"/>
      <c r="U410" s="281"/>
      <c r="V410" s="281"/>
      <c r="W410" s="281"/>
      <c r="X410" s="281"/>
      <c r="Z410" s="230"/>
      <c r="AA410" s="230"/>
      <c r="AB410" s="230"/>
      <c r="AC410" s="230"/>
      <c r="AD410" s="230"/>
      <c r="AE410" s="230"/>
      <c r="AF410" s="230"/>
      <c r="AG410" s="230"/>
    </row>
    <row r="411" spans="2:33" ht="12.75" outlineLevel="1">
      <c r="B411" s="170" t="s">
        <v>247</v>
      </c>
      <c r="C411" s="170"/>
      <c r="D411" s="170"/>
      <c r="E411" s="48"/>
      <c r="F411" s="48"/>
      <c r="G411" s="49"/>
      <c r="H411" s="49"/>
      <c r="I411" s="48"/>
      <c r="J411" s="48"/>
      <c r="K411" s="49"/>
      <c r="L411" s="49"/>
      <c r="M411" s="47"/>
      <c r="N411" s="47"/>
      <c r="O411" s="285"/>
      <c r="P411" s="281"/>
      <c r="Q411" s="281"/>
      <c r="R411" s="281"/>
      <c r="S411" s="281"/>
      <c r="T411" s="281"/>
      <c r="U411" s="281"/>
      <c r="V411" s="281"/>
      <c r="W411" s="281"/>
      <c r="X411" s="281"/>
      <c r="Z411" s="230"/>
      <c r="AA411" s="230"/>
      <c r="AB411" s="230"/>
      <c r="AC411" s="230"/>
      <c r="AD411" s="230"/>
      <c r="AE411" s="230"/>
      <c r="AF411" s="230"/>
      <c r="AG411" s="230"/>
    </row>
    <row r="412" spans="2:33" ht="12.75" outlineLevel="1">
      <c r="B412" s="172" t="s">
        <v>209</v>
      </c>
      <c r="C412" s="170"/>
      <c r="D412" s="170"/>
      <c r="E412" s="48"/>
      <c r="F412" s="48"/>
      <c r="G412" s="49"/>
      <c r="H412" s="49"/>
      <c r="I412" s="48"/>
      <c r="J412" s="48"/>
      <c r="K412" s="49"/>
      <c r="L412" s="49"/>
      <c r="M412" s="47"/>
      <c r="N412" s="47"/>
      <c r="O412" s="285"/>
      <c r="P412" s="281"/>
      <c r="Q412" s="281"/>
      <c r="R412" s="281"/>
      <c r="S412" s="281"/>
      <c r="T412" s="281"/>
      <c r="U412" s="281"/>
      <c r="V412" s="281"/>
      <c r="W412" s="281"/>
      <c r="X412" s="281"/>
      <c r="Z412" s="230"/>
      <c r="AA412" s="230"/>
      <c r="AB412" s="230"/>
      <c r="AC412" s="230"/>
      <c r="AD412" s="230"/>
      <c r="AE412" s="230"/>
      <c r="AF412" s="230"/>
      <c r="AG412" s="230"/>
    </row>
    <row r="413" spans="2:33" ht="12.75" outlineLevel="1">
      <c r="B413" s="170" t="s">
        <v>199</v>
      </c>
      <c r="C413" s="170"/>
      <c r="D413" s="170"/>
      <c r="E413" s="45">
        <v>0</v>
      </c>
      <c r="F413" s="45">
        <v>1</v>
      </c>
      <c r="G413" s="45">
        <v>0</v>
      </c>
      <c r="H413" s="45">
        <v>12.818181818181818</v>
      </c>
      <c r="I413" s="45">
        <v>13.5</v>
      </c>
      <c r="J413" s="45">
        <v>0</v>
      </c>
      <c r="K413" s="45">
        <v>1</v>
      </c>
      <c r="L413" s="45">
        <v>0</v>
      </c>
      <c r="M413" s="125">
        <f>SUM(E413:L413)</f>
        <v>28.31818181818182</v>
      </c>
      <c r="N413" s="47"/>
      <c r="O413" s="285"/>
      <c r="P413" s="281"/>
      <c r="Q413" s="281"/>
      <c r="R413" s="281"/>
      <c r="S413" s="281"/>
      <c r="T413" s="281"/>
      <c r="U413" s="281"/>
      <c r="V413" s="281"/>
      <c r="W413" s="281"/>
      <c r="X413" s="281"/>
      <c r="Z413" s="230"/>
      <c r="AA413" s="230"/>
      <c r="AB413" s="230"/>
      <c r="AC413" s="230"/>
      <c r="AD413" s="230"/>
      <c r="AE413" s="230"/>
      <c r="AF413" s="230"/>
      <c r="AG413" s="230"/>
    </row>
    <row r="414" spans="2:33" ht="12.75" outlineLevel="1">
      <c r="B414" s="170" t="s">
        <v>200</v>
      </c>
      <c r="C414" s="170"/>
      <c r="D414" s="170"/>
      <c r="E414" s="45">
        <v>0</v>
      </c>
      <c r="F414" s="45">
        <v>9116</v>
      </c>
      <c r="G414" s="45">
        <v>0</v>
      </c>
      <c r="H414" s="45">
        <v>93636.71747120803</v>
      </c>
      <c r="I414" s="45">
        <v>31667.166666666664</v>
      </c>
      <c r="J414" s="45">
        <v>0</v>
      </c>
      <c r="K414" s="45">
        <v>4688.385555555556</v>
      </c>
      <c r="L414" s="45">
        <v>0</v>
      </c>
      <c r="M414" s="125">
        <f>SUM(E414:L414)</f>
        <v>139108.26969343025</v>
      </c>
      <c r="N414" s="47"/>
      <c r="O414" s="285"/>
      <c r="P414" s="281"/>
      <c r="Q414" s="281"/>
      <c r="R414" s="281"/>
      <c r="S414" s="281"/>
      <c r="T414" s="281"/>
      <c r="U414" s="281"/>
      <c r="V414" s="281"/>
      <c r="W414" s="281"/>
      <c r="X414" s="281"/>
      <c r="Z414" s="230"/>
      <c r="AA414" s="230"/>
      <c r="AB414" s="230"/>
      <c r="AC414" s="230"/>
      <c r="AD414" s="230"/>
      <c r="AE414" s="230"/>
      <c r="AF414" s="230"/>
      <c r="AG414" s="230"/>
    </row>
    <row r="415" spans="2:33" ht="12.75" outlineLevel="1">
      <c r="B415" s="170" t="s">
        <v>205</v>
      </c>
      <c r="C415" s="170"/>
      <c r="D415" s="170"/>
      <c r="E415" s="45">
        <v>0</v>
      </c>
      <c r="F415" s="45">
        <v>137621.14285714287</v>
      </c>
      <c r="G415" s="45">
        <v>0</v>
      </c>
      <c r="H415" s="45">
        <v>1254540.8770053475</v>
      </c>
      <c r="I415" s="45">
        <v>429466</v>
      </c>
      <c r="J415" s="45">
        <v>0</v>
      </c>
      <c r="K415" s="45">
        <v>113099.44615384615</v>
      </c>
      <c r="L415" s="45">
        <v>0</v>
      </c>
      <c r="M415" s="125">
        <f>SUM(E415:L415)</f>
        <v>1934727.4660163366</v>
      </c>
      <c r="N415" s="47"/>
      <c r="O415" s="285"/>
      <c r="P415" s="281"/>
      <c r="Q415" s="281"/>
      <c r="R415" s="281"/>
      <c r="S415" s="281"/>
      <c r="T415" s="281"/>
      <c r="U415" s="281"/>
      <c r="V415" s="281"/>
      <c r="W415" s="281"/>
      <c r="X415" s="281"/>
      <c r="Z415" s="230"/>
      <c r="AA415" s="230"/>
      <c r="AB415" s="230"/>
      <c r="AC415" s="230"/>
      <c r="AD415" s="230"/>
      <c r="AE415" s="230"/>
      <c r="AF415" s="230"/>
      <c r="AG415" s="230"/>
    </row>
    <row r="416" spans="2:33" ht="12.75" outlineLevel="1">
      <c r="B416" s="170" t="s">
        <v>203</v>
      </c>
      <c r="C416" s="170"/>
      <c r="D416" s="170"/>
      <c r="E416" s="45">
        <v>0</v>
      </c>
      <c r="F416" s="45">
        <v>0</v>
      </c>
      <c r="G416" s="45">
        <v>0</v>
      </c>
      <c r="H416" s="45">
        <v>3453165.454545454</v>
      </c>
      <c r="I416" s="45">
        <v>0</v>
      </c>
      <c r="J416" s="45">
        <v>0</v>
      </c>
      <c r="K416" s="45">
        <v>0</v>
      </c>
      <c r="L416" s="45">
        <v>0</v>
      </c>
      <c r="M416" s="125">
        <f>SUM(E416:L416)</f>
        <v>3453165.454545454</v>
      </c>
      <c r="N416" s="47"/>
      <c r="O416" s="285"/>
      <c r="P416" s="281"/>
      <c r="Q416" s="281"/>
      <c r="R416" s="281"/>
      <c r="S416" s="281"/>
      <c r="T416" s="281"/>
      <c r="U416" s="281"/>
      <c r="V416" s="281"/>
      <c r="W416" s="281"/>
      <c r="X416" s="281"/>
      <c r="Z416" s="230"/>
      <c r="AA416" s="230"/>
      <c r="AB416" s="230"/>
      <c r="AC416" s="230"/>
      <c r="AD416" s="230"/>
      <c r="AE416" s="230"/>
      <c r="AF416" s="230"/>
      <c r="AG416" s="230"/>
    </row>
    <row r="417" spans="2:33" ht="12.75" outlineLevel="1">
      <c r="B417" s="170" t="s">
        <v>247</v>
      </c>
      <c r="C417" s="170"/>
      <c r="D417" s="170"/>
      <c r="E417" s="51"/>
      <c r="F417" s="51"/>
      <c r="G417" s="49"/>
      <c r="H417" s="49"/>
      <c r="I417" s="51"/>
      <c r="J417" s="51"/>
      <c r="K417" s="49"/>
      <c r="L417" s="49"/>
      <c r="M417" s="47"/>
      <c r="N417" s="47"/>
      <c r="O417" s="285"/>
      <c r="P417" s="281"/>
      <c r="Q417" s="281"/>
      <c r="R417" s="281"/>
      <c r="S417" s="281"/>
      <c r="T417" s="281"/>
      <c r="U417" s="281"/>
      <c r="V417" s="281"/>
      <c r="W417" s="281"/>
      <c r="X417" s="281"/>
      <c r="Z417" s="230"/>
      <c r="AA417" s="230"/>
      <c r="AB417" s="230"/>
      <c r="AC417" s="230"/>
      <c r="AD417" s="230"/>
      <c r="AE417" s="230"/>
      <c r="AF417" s="230"/>
      <c r="AG417" s="230"/>
    </row>
    <row r="418" spans="2:33" ht="12.75" outlineLevel="1">
      <c r="B418" s="172" t="s">
        <v>210</v>
      </c>
      <c r="C418" s="170"/>
      <c r="D418" s="170"/>
      <c r="E418" s="48"/>
      <c r="F418" s="48"/>
      <c r="G418" s="49"/>
      <c r="H418" s="49"/>
      <c r="I418" s="48"/>
      <c r="J418" s="48"/>
      <c r="K418" s="49"/>
      <c r="L418" s="49"/>
      <c r="M418" s="47"/>
      <c r="N418" s="47"/>
      <c r="O418" s="285"/>
      <c r="P418" s="281"/>
      <c r="Q418" s="281"/>
      <c r="R418" s="281"/>
      <c r="S418" s="281"/>
      <c r="T418" s="281"/>
      <c r="U418" s="281"/>
      <c r="V418" s="281"/>
      <c r="W418" s="281"/>
      <c r="X418" s="281"/>
      <c r="Z418" s="230"/>
      <c r="AA418" s="230"/>
      <c r="AB418" s="230"/>
      <c r="AC418" s="230"/>
      <c r="AD418" s="230"/>
      <c r="AE418" s="230"/>
      <c r="AF418" s="230"/>
      <c r="AG418" s="230"/>
    </row>
    <row r="419" spans="2:33" ht="12.75" outlineLevel="1">
      <c r="B419" s="170" t="s">
        <v>199</v>
      </c>
      <c r="C419" s="170"/>
      <c r="D419" s="170"/>
      <c r="E419" s="45">
        <v>0</v>
      </c>
      <c r="F419" s="45">
        <v>0</v>
      </c>
      <c r="G419" s="45">
        <v>3.986448404098025</v>
      </c>
      <c r="H419" s="45">
        <v>245.1783858998145</v>
      </c>
      <c r="I419" s="45">
        <v>0</v>
      </c>
      <c r="J419" s="45">
        <v>1</v>
      </c>
      <c r="K419" s="45">
        <v>0</v>
      </c>
      <c r="L419" s="45">
        <v>0</v>
      </c>
      <c r="M419" s="125">
        <f>SUM(E419:L419)</f>
        <v>250.1648343039125</v>
      </c>
      <c r="N419" s="47"/>
      <c r="O419" s="285"/>
      <c r="P419" s="281"/>
      <c r="Q419" s="281"/>
      <c r="R419" s="281"/>
      <c r="S419" s="281"/>
      <c r="T419" s="281"/>
      <c r="U419" s="281"/>
      <c r="V419" s="281"/>
      <c r="W419" s="281"/>
      <c r="X419" s="281"/>
      <c r="Z419" s="230"/>
      <c r="AA419" s="230"/>
      <c r="AB419" s="230"/>
      <c r="AC419" s="230"/>
      <c r="AD419" s="230"/>
      <c r="AE419" s="230"/>
      <c r="AF419" s="230"/>
      <c r="AG419" s="230"/>
    </row>
    <row r="420" spans="2:33" ht="12.75" outlineLevel="1">
      <c r="B420" s="170" t="s">
        <v>211</v>
      </c>
      <c r="C420" s="170"/>
      <c r="D420" s="170"/>
      <c r="E420" s="45">
        <v>0</v>
      </c>
      <c r="F420" s="45">
        <v>0</v>
      </c>
      <c r="G420" s="45">
        <v>22689.79752683203</v>
      </c>
      <c r="H420" s="45">
        <v>689684.9473121813</v>
      </c>
      <c r="I420" s="45">
        <v>0</v>
      </c>
      <c r="J420" s="45">
        <v>6990</v>
      </c>
      <c r="K420" s="45">
        <v>0</v>
      </c>
      <c r="L420" s="45">
        <v>0</v>
      </c>
      <c r="M420" s="125">
        <f>SUM(E420:L420)</f>
        <v>719364.7448390133</v>
      </c>
      <c r="N420" s="47"/>
      <c r="O420" s="285"/>
      <c r="P420" s="281"/>
      <c r="Q420" s="281"/>
      <c r="R420" s="281"/>
      <c r="S420" s="281"/>
      <c r="T420" s="281"/>
      <c r="U420" s="281"/>
      <c r="V420" s="281"/>
      <c r="W420" s="281"/>
      <c r="X420" s="281"/>
      <c r="Z420" s="230"/>
      <c r="AA420" s="230"/>
      <c r="AB420" s="230"/>
      <c r="AC420" s="230"/>
      <c r="AD420" s="230"/>
      <c r="AE420" s="230"/>
      <c r="AF420" s="230"/>
      <c r="AG420" s="230"/>
    </row>
    <row r="421" spans="2:33" ht="12.75" outlineLevel="1">
      <c r="B421" s="170" t="s">
        <v>201</v>
      </c>
      <c r="C421" s="170"/>
      <c r="D421" s="170"/>
      <c r="E421" s="45">
        <v>0</v>
      </c>
      <c r="F421" s="45">
        <v>0</v>
      </c>
      <c r="G421" s="45">
        <v>250071.45833823923</v>
      </c>
      <c r="H421" s="45">
        <v>6559230.345794392</v>
      </c>
      <c r="I421" s="45">
        <v>0</v>
      </c>
      <c r="J421" s="45">
        <v>73111</v>
      </c>
      <c r="K421" s="45">
        <v>0</v>
      </c>
      <c r="L421" s="45">
        <v>0</v>
      </c>
      <c r="M421" s="125">
        <f>SUM(E421:L421)</f>
        <v>6882412.804132631</v>
      </c>
      <c r="N421" s="47"/>
      <c r="O421" s="285"/>
      <c r="P421" s="281"/>
      <c r="Q421" s="281"/>
      <c r="R421" s="281"/>
      <c r="S421" s="281"/>
      <c r="T421" s="281"/>
      <c r="U421" s="281"/>
      <c r="V421" s="281"/>
      <c r="W421" s="281"/>
      <c r="X421" s="281"/>
      <c r="Z421" s="230"/>
      <c r="AA421" s="230"/>
      <c r="AB421" s="230"/>
      <c r="AC421" s="230"/>
      <c r="AD421" s="230"/>
      <c r="AE421" s="230"/>
      <c r="AF421" s="230"/>
      <c r="AG421" s="230"/>
    </row>
    <row r="422" spans="2:33" ht="12.75" outlineLevel="1">
      <c r="B422" s="170" t="s">
        <v>202</v>
      </c>
      <c r="C422" s="170"/>
      <c r="D422" s="170"/>
      <c r="E422" s="45">
        <v>0</v>
      </c>
      <c r="F422" s="45">
        <v>0</v>
      </c>
      <c r="G422" s="45">
        <v>92566296.63423474</v>
      </c>
      <c r="H422" s="45">
        <v>2569025691.3419914</v>
      </c>
      <c r="I422" s="45">
        <v>0</v>
      </c>
      <c r="J422" s="45">
        <v>4819268</v>
      </c>
      <c r="K422" s="45">
        <v>0</v>
      </c>
      <c r="L422" s="45">
        <v>0</v>
      </c>
      <c r="M422" s="125">
        <f>SUM(E422:L422)</f>
        <v>2666411255.9762263</v>
      </c>
      <c r="N422" s="47"/>
      <c r="O422" s="285"/>
      <c r="P422" s="281"/>
      <c r="Q422" s="281"/>
      <c r="R422" s="281"/>
      <c r="S422" s="281"/>
      <c r="T422" s="281"/>
      <c r="U422" s="281"/>
      <c r="V422" s="281"/>
      <c r="W422" s="281"/>
      <c r="X422" s="281"/>
      <c r="Z422" s="230"/>
      <c r="AA422" s="230"/>
      <c r="AB422" s="230"/>
      <c r="AC422" s="230"/>
      <c r="AD422" s="230"/>
      <c r="AE422" s="230"/>
      <c r="AF422" s="230"/>
      <c r="AG422" s="230"/>
    </row>
    <row r="423" spans="2:33" ht="12.75" outlineLevel="1">
      <c r="B423" s="170" t="s">
        <v>203</v>
      </c>
      <c r="C423" s="170"/>
      <c r="D423" s="170"/>
      <c r="E423" s="45">
        <v>0</v>
      </c>
      <c r="F423" s="45">
        <v>0</v>
      </c>
      <c r="G423" s="45">
        <v>0</v>
      </c>
      <c r="H423" s="45">
        <v>56064187.27272727</v>
      </c>
      <c r="I423" s="45">
        <v>0</v>
      </c>
      <c r="J423" s="45">
        <v>0</v>
      </c>
      <c r="K423" s="45">
        <v>0</v>
      </c>
      <c r="L423" s="45">
        <v>0</v>
      </c>
      <c r="M423" s="125">
        <f>SUM(E423:L423)</f>
        <v>56064187.27272727</v>
      </c>
      <c r="N423" s="47"/>
      <c r="O423" s="285"/>
      <c r="P423" s="281"/>
      <c r="Q423" s="281"/>
      <c r="R423" s="281"/>
      <c r="S423" s="281"/>
      <c r="T423" s="281"/>
      <c r="U423" s="281"/>
      <c r="V423" s="281"/>
      <c r="W423" s="281"/>
      <c r="X423" s="281"/>
      <c r="Z423" s="230"/>
      <c r="AA423" s="230"/>
      <c r="AB423" s="230"/>
      <c r="AC423" s="230"/>
      <c r="AD423" s="230"/>
      <c r="AE423" s="230"/>
      <c r="AF423" s="230"/>
      <c r="AG423" s="230"/>
    </row>
    <row r="424" spans="2:33" ht="12.75" outlineLevel="1">
      <c r="B424" s="170" t="s">
        <v>247</v>
      </c>
      <c r="C424" s="170"/>
      <c r="D424" s="170"/>
      <c r="E424" s="51"/>
      <c r="F424" s="51"/>
      <c r="G424" s="49"/>
      <c r="H424" s="49"/>
      <c r="I424" s="51"/>
      <c r="J424" s="51"/>
      <c r="K424" s="49"/>
      <c r="L424" s="49"/>
      <c r="M424" s="47"/>
      <c r="N424" s="47"/>
      <c r="O424" s="285"/>
      <c r="P424" s="281"/>
      <c r="Q424" s="281"/>
      <c r="R424" s="281"/>
      <c r="S424" s="281"/>
      <c r="T424" s="281"/>
      <c r="U424" s="281"/>
      <c r="V424" s="281"/>
      <c r="W424" s="281"/>
      <c r="X424" s="281"/>
      <c r="Z424" s="230"/>
      <c r="AA424" s="230"/>
      <c r="AB424" s="230"/>
      <c r="AC424" s="230"/>
      <c r="AD424" s="230"/>
      <c r="AE424" s="230"/>
      <c r="AF424" s="230"/>
      <c r="AG424" s="230"/>
    </row>
    <row r="425" spans="2:33" ht="12.75" outlineLevel="1">
      <c r="B425" s="172" t="s">
        <v>212</v>
      </c>
      <c r="C425" s="170"/>
      <c r="D425" s="170"/>
      <c r="E425" s="48"/>
      <c r="F425" s="48"/>
      <c r="G425" s="49"/>
      <c r="H425" s="49"/>
      <c r="I425" s="48"/>
      <c r="J425" s="48"/>
      <c r="K425" s="49"/>
      <c r="L425" s="49"/>
      <c r="M425" s="47"/>
      <c r="N425" s="47"/>
      <c r="O425" s="285"/>
      <c r="P425" s="281"/>
      <c r="Q425" s="281"/>
      <c r="R425" s="281"/>
      <c r="S425" s="281"/>
      <c r="T425" s="281"/>
      <c r="U425" s="281"/>
      <c r="V425" s="281"/>
      <c r="W425" s="281"/>
      <c r="X425" s="281"/>
      <c r="Z425" s="230"/>
      <c r="AA425" s="230"/>
      <c r="AB425" s="230"/>
      <c r="AC425" s="230"/>
      <c r="AD425" s="230"/>
      <c r="AE425" s="230"/>
      <c r="AF425" s="230"/>
      <c r="AG425" s="230"/>
    </row>
    <row r="426" spans="2:33" ht="12.75" outlineLevel="1">
      <c r="B426" s="170" t="s">
        <v>199</v>
      </c>
      <c r="C426" s="170"/>
      <c r="D426" s="170"/>
      <c r="E426" s="45">
        <v>30</v>
      </c>
      <c r="F426" s="45">
        <v>400.75</v>
      </c>
      <c r="G426" s="45">
        <v>583.2920807572971</v>
      </c>
      <c r="H426" s="45">
        <v>9154.128905380334</v>
      </c>
      <c r="I426" s="45">
        <v>9008.681098744448</v>
      </c>
      <c r="J426" s="45">
        <v>17.73</v>
      </c>
      <c r="K426" s="45">
        <v>3039.519954648526</v>
      </c>
      <c r="L426" s="45">
        <v>270.02768707482994</v>
      </c>
      <c r="M426" s="125">
        <f>SUM(E426:L426)</f>
        <v>22504.129726605435</v>
      </c>
      <c r="N426" s="47"/>
      <c r="O426" s="285"/>
      <c r="P426" s="281"/>
      <c r="Q426" s="281"/>
      <c r="R426" s="281"/>
      <c r="S426" s="281"/>
      <c r="T426" s="281"/>
      <c r="U426" s="281"/>
      <c r="V426" s="281"/>
      <c r="W426" s="281"/>
      <c r="X426" s="281"/>
      <c r="Z426" s="230"/>
      <c r="AA426" s="230"/>
      <c r="AB426" s="230"/>
      <c r="AC426" s="230"/>
      <c r="AD426" s="230"/>
      <c r="AE426" s="230"/>
      <c r="AF426" s="230"/>
      <c r="AG426" s="230"/>
    </row>
    <row r="427" spans="2:33" ht="12.75" outlineLevel="1">
      <c r="B427" s="170" t="s">
        <v>211</v>
      </c>
      <c r="C427" s="170"/>
      <c r="D427" s="170"/>
      <c r="E427" s="45">
        <v>31457</v>
      </c>
      <c r="F427" s="45">
        <v>177244.4166666667</v>
      </c>
      <c r="G427" s="45">
        <v>152716.89854458</v>
      </c>
      <c r="H427" s="45">
        <v>2946866.398771841</v>
      </c>
      <c r="I427" s="45">
        <v>3194870.543192299</v>
      </c>
      <c r="J427" s="45">
        <v>21018</v>
      </c>
      <c r="K427" s="45">
        <v>1804684.007490636</v>
      </c>
      <c r="L427" s="45">
        <v>260020.5111492281</v>
      </c>
      <c r="M427" s="125">
        <f>SUM(E427:L427)</f>
        <v>8588877.77581525</v>
      </c>
      <c r="N427" s="47"/>
      <c r="O427" s="285"/>
      <c r="P427" s="281"/>
      <c r="Q427" s="281"/>
      <c r="R427" s="281"/>
      <c r="S427" s="281"/>
      <c r="T427" s="281"/>
      <c r="U427" s="281"/>
      <c r="V427" s="281"/>
      <c r="W427" s="281"/>
      <c r="X427" s="281"/>
      <c r="Z427" s="230"/>
      <c r="AA427" s="230"/>
      <c r="AB427" s="230"/>
      <c r="AC427" s="230"/>
      <c r="AD427" s="230"/>
      <c r="AE427" s="230"/>
      <c r="AF427" s="230"/>
      <c r="AG427" s="230"/>
    </row>
    <row r="428" spans="2:33" ht="12.75" outlineLevel="1">
      <c r="B428" s="170" t="s">
        <v>201</v>
      </c>
      <c r="C428" s="170"/>
      <c r="D428" s="170"/>
      <c r="E428" s="45">
        <v>322886</v>
      </c>
      <c r="F428" s="45">
        <v>1458129</v>
      </c>
      <c r="G428" s="45">
        <v>1184984.3576887576</v>
      </c>
      <c r="H428" s="45">
        <v>26120456.888257578</v>
      </c>
      <c r="I428" s="45">
        <v>26904835.058671664</v>
      </c>
      <c r="J428" s="45">
        <v>201386</v>
      </c>
      <c r="K428" s="45">
        <v>13928738.944827583</v>
      </c>
      <c r="L428" s="45">
        <v>1886073.7449664432</v>
      </c>
      <c r="M428" s="125">
        <f>SUM(E428:L428)</f>
        <v>72007489.99441203</v>
      </c>
      <c r="N428" s="47"/>
      <c r="O428" s="285"/>
      <c r="P428" s="281"/>
      <c r="Q428" s="281"/>
      <c r="R428" s="281"/>
      <c r="S428" s="281"/>
      <c r="T428" s="281"/>
      <c r="U428" s="281"/>
      <c r="V428" s="281"/>
      <c r="W428" s="281"/>
      <c r="X428" s="281"/>
      <c r="Z428" s="230"/>
      <c r="AA428" s="230"/>
      <c r="AB428" s="230"/>
      <c r="AC428" s="230"/>
      <c r="AD428" s="230"/>
      <c r="AE428" s="230"/>
      <c r="AF428" s="230"/>
      <c r="AG428" s="230"/>
    </row>
    <row r="429" spans="2:33" ht="12.75" outlineLevel="1">
      <c r="B429" s="170" t="s">
        <v>202</v>
      </c>
      <c r="C429" s="170"/>
      <c r="D429" s="170"/>
      <c r="E429" s="45">
        <v>109111499</v>
      </c>
      <c r="F429" s="45">
        <v>460008638.55921054</v>
      </c>
      <c r="G429" s="45">
        <v>397691192.8137176</v>
      </c>
      <c r="H429" s="45">
        <v>7946310326.286966</v>
      </c>
      <c r="I429" s="45">
        <v>8720106593.823997</v>
      </c>
      <c r="J429" s="45">
        <v>73450339</v>
      </c>
      <c r="K429" s="45">
        <v>4764709396.629213</v>
      </c>
      <c r="L429" s="45">
        <v>484027904</v>
      </c>
      <c r="M429" s="125">
        <f>SUM(E429:L429)</f>
        <v>22955415890.113106</v>
      </c>
      <c r="N429" s="47"/>
      <c r="O429" s="285"/>
      <c r="P429" s="281"/>
      <c r="Q429" s="281"/>
      <c r="R429" s="281"/>
      <c r="S429" s="281"/>
      <c r="T429" s="281"/>
      <c r="U429" s="281"/>
      <c r="V429" s="281"/>
      <c r="W429" s="281"/>
      <c r="X429" s="281"/>
      <c r="Z429" s="230"/>
      <c r="AA429" s="230"/>
      <c r="AB429" s="230"/>
      <c r="AC429" s="230"/>
      <c r="AD429" s="230"/>
      <c r="AE429" s="230"/>
      <c r="AF429" s="230"/>
      <c r="AG429" s="230"/>
    </row>
    <row r="430" spans="2:33" ht="12.75" outlineLevel="1">
      <c r="B430" s="170" t="s">
        <v>203</v>
      </c>
      <c r="C430" s="170"/>
      <c r="D430" s="170"/>
      <c r="E430" s="45">
        <v>1508631</v>
      </c>
      <c r="F430" s="45">
        <v>0</v>
      </c>
      <c r="G430" s="45">
        <v>5345962.722440112</v>
      </c>
      <c r="H430" s="45">
        <v>248060746.81818178</v>
      </c>
      <c r="I430" s="45">
        <v>0</v>
      </c>
      <c r="J430" s="45">
        <v>1070076</v>
      </c>
      <c r="K430" s="45">
        <v>35145930</v>
      </c>
      <c r="L430" s="45">
        <v>0</v>
      </c>
      <c r="M430" s="125">
        <f>SUM(E430:L430)</f>
        <v>291131346.5406219</v>
      </c>
      <c r="N430" s="47"/>
      <c r="O430" s="285"/>
      <c r="P430" s="281"/>
      <c r="Q430" s="281"/>
      <c r="R430" s="281"/>
      <c r="S430" s="281"/>
      <c r="T430" s="281"/>
      <c r="U430" s="281"/>
      <c r="V430" s="281"/>
      <c r="W430" s="281"/>
      <c r="X430" s="281"/>
      <c r="Z430" s="230"/>
      <c r="AA430" s="230"/>
      <c r="AB430" s="230"/>
      <c r="AC430" s="230"/>
      <c r="AD430" s="230"/>
      <c r="AE430" s="230"/>
      <c r="AF430" s="230"/>
      <c r="AG430" s="230"/>
    </row>
    <row r="431" spans="2:33" ht="12.75" outlineLevel="1">
      <c r="B431" s="170" t="s">
        <v>247</v>
      </c>
      <c r="C431" s="170"/>
      <c r="D431" s="170"/>
      <c r="E431" s="48"/>
      <c r="F431" s="48"/>
      <c r="G431" s="49"/>
      <c r="H431" s="49"/>
      <c r="I431" s="48"/>
      <c r="J431" s="48"/>
      <c r="K431" s="49"/>
      <c r="L431" s="49"/>
      <c r="M431" s="47"/>
      <c r="N431" s="47"/>
      <c r="O431" s="285"/>
      <c r="P431" s="281"/>
      <c r="Q431" s="281"/>
      <c r="R431" s="281"/>
      <c r="S431" s="281"/>
      <c r="T431" s="281"/>
      <c r="U431" s="281"/>
      <c r="V431" s="281"/>
      <c r="W431" s="281"/>
      <c r="X431" s="281"/>
      <c r="Z431" s="230"/>
      <c r="AA431" s="230"/>
      <c r="AB431" s="230"/>
      <c r="AC431" s="230"/>
      <c r="AD431" s="230"/>
      <c r="AE431" s="230"/>
      <c r="AF431" s="230"/>
      <c r="AG431" s="230"/>
    </row>
    <row r="432" spans="2:33" ht="12.75" outlineLevel="1">
      <c r="B432" s="172" t="s">
        <v>213</v>
      </c>
      <c r="C432" s="170"/>
      <c r="D432" s="170"/>
      <c r="E432" s="48"/>
      <c r="F432" s="48"/>
      <c r="G432" s="49"/>
      <c r="H432" s="49"/>
      <c r="I432" s="48"/>
      <c r="J432" s="48"/>
      <c r="K432" s="49"/>
      <c r="L432" s="49"/>
      <c r="M432" s="47"/>
      <c r="N432" s="47"/>
      <c r="O432" s="285"/>
      <c r="P432" s="281"/>
      <c r="Q432" s="281"/>
      <c r="R432" s="281"/>
      <c r="S432" s="281"/>
      <c r="T432" s="281"/>
      <c r="U432" s="281"/>
      <c r="V432" s="281"/>
      <c r="W432" s="281"/>
      <c r="X432" s="281"/>
      <c r="Z432" s="230"/>
      <c r="AA432" s="230"/>
      <c r="AB432" s="230"/>
      <c r="AC432" s="230"/>
      <c r="AD432" s="230"/>
      <c r="AE432" s="230"/>
      <c r="AF432" s="230"/>
      <c r="AG432" s="230"/>
    </row>
    <row r="433" spans="2:33" ht="12.75" outlineLevel="1">
      <c r="B433" s="170" t="s">
        <v>199</v>
      </c>
      <c r="C433" s="170"/>
      <c r="D433" s="170"/>
      <c r="E433" s="45">
        <v>209</v>
      </c>
      <c r="F433" s="45">
        <v>1444.9166666666665</v>
      </c>
      <c r="G433" s="45">
        <v>656.8749276838793</v>
      </c>
      <c r="H433" s="45">
        <v>14388.939066171924</v>
      </c>
      <c r="I433" s="45">
        <v>13388.265022482712</v>
      </c>
      <c r="J433" s="45">
        <v>134.06</v>
      </c>
      <c r="K433" s="45">
        <v>8848.49918367347</v>
      </c>
      <c r="L433" s="45">
        <v>1060.1589569161</v>
      </c>
      <c r="M433" s="125">
        <f>SUM(E433:L433)</f>
        <v>40130.71382359475</v>
      </c>
      <c r="N433" s="47"/>
      <c r="O433" s="285"/>
      <c r="P433" s="281"/>
      <c r="Q433" s="281"/>
      <c r="R433" s="281"/>
      <c r="S433" s="281"/>
      <c r="T433" s="281"/>
      <c r="U433" s="281"/>
      <c r="V433" s="281"/>
      <c r="W433" s="281"/>
      <c r="X433" s="281"/>
      <c r="Z433" s="230"/>
      <c r="AA433" s="230"/>
      <c r="AB433" s="230"/>
      <c r="AC433" s="230"/>
      <c r="AD433" s="230"/>
      <c r="AE433" s="230"/>
      <c r="AF433" s="230"/>
      <c r="AG433" s="230"/>
    </row>
    <row r="434" spans="2:33" ht="12.75" outlineLevel="1">
      <c r="B434" s="170" t="s">
        <v>211</v>
      </c>
      <c r="C434" s="170"/>
      <c r="D434" s="170"/>
      <c r="E434" s="45">
        <v>41068</v>
      </c>
      <c r="F434" s="45">
        <v>138825.66666666666</v>
      </c>
      <c r="G434" s="45">
        <v>39237.06241882206</v>
      </c>
      <c r="H434" s="45">
        <v>1053288.6662373275</v>
      </c>
      <c r="I434" s="45">
        <v>1189134.1860904596</v>
      </c>
      <c r="J434" s="45">
        <v>22547</v>
      </c>
      <c r="K434" s="45">
        <v>1144311.281609196</v>
      </c>
      <c r="L434" s="45">
        <v>213714.8200514139</v>
      </c>
      <c r="M434" s="125">
        <f>SUM(E434:L434)</f>
        <v>3842126.6830738857</v>
      </c>
      <c r="N434" s="47"/>
      <c r="O434" s="285"/>
      <c r="P434" s="281"/>
      <c r="Q434" s="281"/>
      <c r="R434" s="281"/>
      <c r="S434" s="281"/>
      <c r="T434" s="281"/>
      <c r="U434" s="281"/>
      <c r="V434" s="281"/>
      <c r="W434" s="281"/>
      <c r="X434" s="281"/>
      <c r="Z434" s="230"/>
      <c r="AA434" s="230"/>
      <c r="AB434" s="230"/>
      <c r="AC434" s="230"/>
      <c r="AD434" s="230"/>
      <c r="AE434" s="230"/>
      <c r="AF434" s="230"/>
      <c r="AG434" s="230"/>
    </row>
    <row r="435" spans="2:33" ht="12.75" outlineLevel="1">
      <c r="B435" s="170" t="s">
        <v>201</v>
      </c>
      <c r="C435" s="170"/>
      <c r="D435" s="170"/>
      <c r="E435" s="45">
        <v>362639</v>
      </c>
      <c r="F435" s="45">
        <v>1059003.92</v>
      </c>
      <c r="G435" s="45">
        <v>260076.28065434218</v>
      </c>
      <c r="H435" s="45">
        <v>8343391.250000001</v>
      </c>
      <c r="I435" s="45">
        <v>9152817.000641614</v>
      </c>
      <c r="J435" s="45">
        <v>216002</v>
      </c>
      <c r="K435" s="45">
        <v>7943134.717241379</v>
      </c>
      <c r="L435" s="45">
        <v>1583827.6711409392</v>
      </c>
      <c r="M435" s="125">
        <f>SUM(E435:L435)</f>
        <v>28920891.839678276</v>
      </c>
      <c r="N435" s="47"/>
      <c r="O435" s="285"/>
      <c r="P435" s="281"/>
      <c r="Q435" s="281"/>
      <c r="R435" s="281"/>
      <c r="S435" s="281"/>
      <c r="T435" s="281"/>
      <c r="U435" s="281"/>
      <c r="V435" s="281"/>
      <c r="W435" s="281"/>
      <c r="X435" s="281"/>
      <c r="Z435" s="230"/>
      <c r="AA435" s="230"/>
      <c r="AB435" s="230"/>
      <c r="AC435" s="230"/>
      <c r="AD435" s="230"/>
      <c r="AE435" s="230"/>
      <c r="AF435" s="230"/>
      <c r="AG435" s="230"/>
    </row>
    <row r="436" spans="2:33" ht="12.75" outlineLevel="1">
      <c r="B436" s="170" t="s">
        <v>202</v>
      </c>
      <c r="C436" s="170"/>
      <c r="D436" s="170"/>
      <c r="E436" s="45">
        <v>96969671</v>
      </c>
      <c r="F436" s="45">
        <v>276822280.38947374</v>
      </c>
      <c r="G436" s="45">
        <v>70318119.05381988</v>
      </c>
      <c r="H436" s="45">
        <v>2187557610.07667</v>
      </c>
      <c r="I436" s="45">
        <v>2533771483.7609086</v>
      </c>
      <c r="J436" s="45">
        <v>55742080</v>
      </c>
      <c r="K436" s="45">
        <v>2301030968.539326</v>
      </c>
      <c r="L436" s="45">
        <v>419642943</v>
      </c>
      <c r="M436" s="125">
        <f>SUM(E436:L436)</f>
        <v>7941855155.820198</v>
      </c>
      <c r="N436" s="47"/>
      <c r="O436" s="285"/>
      <c r="P436" s="281"/>
      <c r="Q436" s="281"/>
      <c r="R436" s="281"/>
      <c r="S436" s="281"/>
      <c r="T436" s="281"/>
      <c r="U436" s="281"/>
      <c r="V436" s="281"/>
      <c r="W436" s="281"/>
      <c r="X436" s="281"/>
      <c r="Z436" s="230"/>
      <c r="AA436" s="230"/>
      <c r="AB436" s="230"/>
      <c r="AC436" s="230"/>
      <c r="AD436" s="230"/>
      <c r="AE436" s="230"/>
      <c r="AF436" s="230"/>
      <c r="AG436" s="230"/>
    </row>
    <row r="437" spans="2:33" ht="12.75" outlineLevel="1">
      <c r="B437" s="170" t="s">
        <v>203</v>
      </c>
      <c r="C437" s="170"/>
      <c r="D437" s="170"/>
      <c r="E437" s="45">
        <v>1087461</v>
      </c>
      <c r="F437" s="45">
        <v>0</v>
      </c>
      <c r="G437" s="45">
        <v>165552.66217527151</v>
      </c>
      <c r="H437" s="45">
        <v>12380964.545454549</v>
      </c>
      <c r="I437" s="45">
        <v>0</v>
      </c>
      <c r="J437" s="45">
        <v>860895</v>
      </c>
      <c r="K437" s="45">
        <v>14223686.666666666</v>
      </c>
      <c r="L437" s="45">
        <v>0</v>
      </c>
      <c r="M437" s="125">
        <f>SUM(E437:L437)</f>
        <v>28718559.874296486</v>
      </c>
      <c r="N437" s="47"/>
      <c r="O437" s="285"/>
      <c r="P437" s="281"/>
      <c r="Q437" s="281"/>
      <c r="R437" s="281"/>
      <c r="S437" s="281"/>
      <c r="T437" s="281"/>
      <c r="U437" s="281"/>
      <c r="V437" s="281"/>
      <c r="W437" s="281"/>
      <c r="X437" s="281"/>
      <c r="Z437" s="230"/>
      <c r="AA437" s="230"/>
      <c r="AB437" s="230"/>
      <c r="AC437" s="230"/>
      <c r="AD437" s="230"/>
      <c r="AE437" s="230"/>
      <c r="AF437" s="230"/>
      <c r="AG437" s="230"/>
    </row>
    <row r="438" spans="2:33" ht="12.75" outlineLevel="1">
      <c r="B438" s="170" t="s">
        <v>247</v>
      </c>
      <c r="C438" s="170"/>
      <c r="D438" s="170"/>
      <c r="E438" s="48"/>
      <c r="F438" s="48"/>
      <c r="G438" s="49"/>
      <c r="H438" s="49"/>
      <c r="I438" s="48"/>
      <c r="J438" s="48"/>
      <c r="K438" s="49"/>
      <c r="L438" s="49"/>
      <c r="M438" s="47"/>
      <c r="N438" s="47"/>
      <c r="O438" s="285"/>
      <c r="P438" s="281"/>
      <c r="Q438" s="281"/>
      <c r="R438" s="281"/>
      <c r="S438" s="281"/>
      <c r="T438" s="281"/>
      <c r="U438" s="281"/>
      <c r="V438" s="281"/>
      <c r="W438" s="281"/>
      <c r="X438" s="281"/>
      <c r="Z438" s="230"/>
      <c r="AA438" s="230"/>
      <c r="AB438" s="230"/>
      <c r="AC438" s="230"/>
      <c r="AD438" s="230"/>
      <c r="AE438" s="230"/>
      <c r="AF438" s="230"/>
      <c r="AG438" s="230"/>
    </row>
    <row r="439" spans="2:33" ht="12.75" outlineLevel="1">
      <c r="B439" s="172" t="s">
        <v>214</v>
      </c>
      <c r="C439" s="170"/>
      <c r="D439" s="170"/>
      <c r="E439" s="48"/>
      <c r="F439" s="48"/>
      <c r="G439" s="49"/>
      <c r="H439" s="49"/>
      <c r="I439" s="48"/>
      <c r="J439" s="48"/>
      <c r="K439" s="49"/>
      <c r="L439" s="49"/>
      <c r="M439" s="47"/>
      <c r="N439" s="47"/>
      <c r="O439" s="285"/>
      <c r="P439" s="281"/>
      <c r="Q439" s="281"/>
      <c r="R439" s="281"/>
      <c r="S439" s="281"/>
      <c r="T439" s="281"/>
      <c r="U439" s="281"/>
      <c r="V439" s="281"/>
      <c r="W439" s="281"/>
      <c r="X439" s="281"/>
      <c r="Z439" s="230"/>
      <c r="AA439" s="230"/>
      <c r="AB439" s="230"/>
      <c r="AC439" s="230"/>
      <c r="AD439" s="230"/>
      <c r="AE439" s="230"/>
      <c r="AF439" s="230"/>
      <c r="AG439" s="230"/>
    </row>
    <row r="440" spans="2:33" ht="12.75" outlineLevel="1">
      <c r="B440" s="170" t="s">
        <v>199</v>
      </c>
      <c r="C440" s="170"/>
      <c r="D440" s="170"/>
      <c r="E440" s="45">
        <v>305</v>
      </c>
      <c r="F440" s="45">
        <v>352.4166666666667</v>
      </c>
      <c r="G440" s="45">
        <v>0</v>
      </c>
      <c r="H440" s="45">
        <v>3129.8296969696976</v>
      </c>
      <c r="I440" s="45">
        <v>5828.216556159666</v>
      </c>
      <c r="J440" s="45">
        <v>122.1</v>
      </c>
      <c r="K440" s="45">
        <v>7000.546111111111</v>
      </c>
      <c r="L440" s="45">
        <v>66.64722222222223</v>
      </c>
      <c r="M440" s="125">
        <f>SUM(E440:L440)</f>
        <v>16804.756253129366</v>
      </c>
      <c r="N440" s="47"/>
      <c r="O440" s="285"/>
      <c r="P440" s="281"/>
      <c r="Q440" s="281"/>
      <c r="R440" s="281"/>
      <c r="S440" s="281"/>
      <c r="T440" s="281"/>
      <c r="U440" s="281"/>
      <c r="V440" s="281"/>
      <c r="W440" s="281"/>
      <c r="X440" s="281"/>
      <c r="Z440" s="230"/>
      <c r="AA440" s="230"/>
      <c r="AB440" s="230"/>
      <c r="AC440" s="230"/>
      <c r="AD440" s="230"/>
      <c r="AE440" s="230"/>
      <c r="AF440" s="230"/>
      <c r="AG440" s="230"/>
    </row>
    <row r="441" spans="2:33" ht="12.75" outlineLevel="1">
      <c r="B441" s="170" t="s">
        <v>211</v>
      </c>
      <c r="C441" s="170"/>
      <c r="D441" s="170"/>
      <c r="E441" s="45">
        <v>23504</v>
      </c>
      <c r="F441" s="45">
        <v>17433</v>
      </c>
      <c r="G441" s="45">
        <v>0</v>
      </c>
      <c r="H441" s="45">
        <v>101691.90927873777</v>
      </c>
      <c r="I441" s="45">
        <v>211016.96094178432</v>
      </c>
      <c r="J441" s="45">
        <v>7633</v>
      </c>
      <c r="K441" s="45">
        <v>587392.2274774775</v>
      </c>
      <c r="L441" s="45">
        <v>4308.684290030213</v>
      </c>
      <c r="M441" s="125">
        <f>SUM(E441:L441)</f>
        <v>952979.7819880297</v>
      </c>
      <c r="N441" s="47"/>
      <c r="O441" s="285"/>
      <c r="P441" s="281"/>
      <c r="Q441" s="281"/>
      <c r="R441" s="281"/>
      <c r="S441" s="281"/>
      <c r="T441" s="281"/>
      <c r="U441" s="281"/>
      <c r="V441" s="281"/>
      <c r="W441" s="281"/>
      <c r="X441" s="281"/>
      <c r="Z441" s="230"/>
      <c r="AA441" s="230"/>
      <c r="AB441" s="230"/>
      <c r="AC441" s="230"/>
      <c r="AD441" s="230"/>
      <c r="AE441" s="230"/>
      <c r="AF441" s="230"/>
      <c r="AG441" s="230"/>
    </row>
    <row r="442" spans="2:33" ht="12.75" outlineLevel="1">
      <c r="B442" s="170" t="s">
        <v>221</v>
      </c>
      <c r="C442" s="170"/>
      <c r="D442" s="170"/>
      <c r="E442" s="45">
        <v>14822263</v>
      </c>
      <c r="F442" s="45">
        <v>8303103.0138157895</v>
      </c>
      <c r="G442" s="45">
        <v>0</v>
      </c>
      <c r="H442" s="45">
        <v>66532794.17706477</v>
      </c>
      <c r="I442" s="45">
        <v>158785264.15167654</v>
      </c>
      <c r="J442" s="45">
        <v>5947722</v>
      </c>
      <c r="K442" s="45">
        <v>363643496.87499994</v>
      </c>
      <c r="L442" s="45">
        <v>3607089.444444445</v>
      </c>
      <c r="M442" s="125">
        <f>SUM(E442:L442)</f>
        <v>621641732.6620015</v>
      </c>
      <c r="N442" s="47"/>
      <c r="O442" s="285"/>
      <c r="P442" s="281"/>
      <c r="Q442" s="281"/>
      <c r="R442" s="281"/>
      <c r="S442" s="281"/>
      <c r="T442" s="281"/>
      <c r="U442" s="281"/>
      <c r="V442" s="281"/>
      <c r="W442" s="281"/>
      <c r="X442" s="281"/>
      <c r="Z442" s="230"/>
      <c r="AA442" s="230"/>
      <c r="AB442" s="230"/>
      <c r="AC442" s="230"/>
      <c r="AD442" s="230"/>
      <c r="AE442" s="230"/>
      <c r="AF442" s="230"/>
      <c r="AG442" s="230"/>
    </row>
    <row r="443" spans="2:33" ht="12.75" outlineLevel="1">
      <c r="B443" s="170" t="s">
        <v>202</v>
      </c>
      <c r="C443" s="170"/>
      <c r="D443" s="170"/>
      <c r="E443" s="45">
        <v>29058707</v>
      </c>
      <c r="F443" s="45">
        <v>11040413.39407895</v>
      </c>
      <c r="G443" s="45">
        <v>0</v>
      </c>
      <c r="H443" s="45">
        <v>101213575.45764814</v>
      </c>
      <c r="I443" s="45">
        <v>242915658.71953067</v>
      </c>
      <c r="J443" s="45">
        <v>11855582</v>
      </c>
      <c r="K443" s="45">
        <v>581694761.25</v>
      </c>
      <c r="L443" s="45">
        <v>4731515.6424581</v>
      </c>
      <c r="M443" s="125">
        <f>SUM(E443:L443)</f>
        <v>982510213.4637159</v>
      </c>
      <c r="N443" s="47"/>
      <c r="O443" s="285"/>
      <c r="P443" s="281"/>
      <c r="Q443" s="281"/>
      <c r="R443" s="281"/>
      <c r="S443" s="281"/>
      <c r="T443" s="281"/>
      <c r="U443" s="281"/>
      <c r="V443" s="281"/>
      <c r="W443" s="281"/>
      <c r="X443" s="281"/>
      <c r="Z443" s="230"/>
      <c r="AA443" s="230"/>
      <c r="AB443" s="230"/>
      <c r="AC443" s="230"/>
      <c r="AD443" s="230"/>
      <c r="AE443" s="230"/>
      <c r="AF443" s="230"/>
      <c r="AG443" s="230"/>
    </row>
    <row r="444" spans="2:33" ht="12.75" outlineLevel="1">
      <c r="B444" s="170" t="s">
        <v>203</v>
      </c>
      <c r="C444" s="170"/>
      <c r="D444" s="170"/>
      <c r="E444" s="45">
        <v>632422</v>
      </c>
      <c r="F444" s="45">
        <v>0</v>
      </c>
      <c r="G444" s="45">
        <v>0</v>
      </c>
      <c r="H444" s="45">
        <v>1481.6666666666667</v>
      </c>
      <c r="I444" s="45">
        <v>0</v>
      </c>
      <c r="J444" s="45">
        <v>370744</v>
      </c>
      <c r="K444" s="45">
        <v>9205931.666666666</v>
      </c>
      <c r="L444" s="45">
        <v>0</v>
      </c>
      <c r="M444" s="125">
        <f>SUM(E444:L444)</f>
        <v>10210579.333333332</v>
      </c>
      <c r="N444" s="47"/>
      <c r="O444" s="285"/>
      <c r="P444" s="281"/>
      <c r="Q444" s="281"/>
      <c r="R444" s="281"/>
      <c r="S444" s="281"/>
      <c r="T444" s="281"/>
      <c r="U444" s="281"/>
      <c r="V444" s="281"/>
      <c r="W444" s="281"/>
      <c r="X444" s="281"/>
      <c r="Z444" s="230"/>
      <c r="AA444" s="230"/>
      <c r="AB444" s="230"/>
      <c r="AC444" s="230"/>
      <c r="AD444" s="230"/>
      <c r="AE444" s="230"/>
      <c r="AF444" s="230"/>
      <c r="AG444" s="230"/>
    </row>
    <row r="445" spans="2:24" ht="12.75" outlineLevel="1">
      <c r="B445" s="170" t="s">
        <v>247</v>
      </c>
      <c r="C445" s="170"/>
      <c r="D445" s="170"/>
      <c r="E445" s="48"/>
      <c r="F445" s="48"/>
      <c r="G445" s="49"/>
      <c r="H445" s="49"/>
      <c r="I445" s="48"/>
      <c r="J445" s="48"/>
      <c r="K445" s="49"/>
      <c r="L445" s="49"/>
      <c r="M445" s="47"/>
      <c r="N445" s="47"/>
      <c r="O445" s="285"/>
      <c r="P445" s="281"/>
      <c r="Q445" s="281"/>
      <c r="R445" s="281"/>
      <c r="S445" s="281"/>
      <c r="T445" s="281"/>
      <c r="U445" s="281"/>
      <c r="V445" s="281"/>
      <c r="W445" s="281"/>
      <c r="X445" s="281"/>
    </row>
    <row r="446" spans="2:24" ht="12.75" outlineLevel="1">
      <c r="B446" s="287" t="s">
        <v>505</v>
      </c>
      <c r="C446" s="170"/>
      <c r="D446" s="170"/>
      <c r="E446" s="48"/>
      <c r="F446" s="48"/>
      <c r="G446" s="49"/>
      <c r="H446" s="49"/>
      <c r="I446" s="48"/>
      <c r="J446" s="48"/>
      <c r="K446" s="49"/>
      <c r="L446" s="49"/>
      <c r="M446" s="47"/>
      <c r="N446" s="47"/>
      <c r="O446" s="285"/>
      <c r="P446" s="281"/>
      <c r="Q446" s="281"/>
      <c r="R446" s="281"/>
      <c r="S446" s="281"/>
      <c r="T446" s="281"/>
      <c r="U446" s="281"/>
      <c r="V446" s="281"/>
      <c r="W446" s="281"/>
      <c r="X446" s="281"/>
    </row>
    <row r="447" spans="2:24" ht="12.75" outlineLevel="1">
      <c r="B447" s="288"/>
      <c r="C447" s="170"/>
      <c r="D447" s="170"/>
      <c r="E447" s="48"/>
      <c r="F447" s="48"/>
      <c r="G447" s="49"/>
      <c r="H447" s="49"/>
      <c r="I447" s="48"/>
      <c r="J447" s="48"/>
      <c r="K447" s="49"/>
      <c r="L447" s="49"/>
      <c r="M447" s="47"/>
      <c r="N447" s="47"/>
      <c r="O447" s="285"/>
      <c r="P447" s="281"/>
      <c r="Q447" s="281"/>
      <c r="R447" s="281"/>
      <c r="S447" s="281"/>
      <c r="T447" s="281"/>
      <c r="U447" s="281"/>
      <c r="V447" s="281"/>
      <c r="W447" s="281"/>
      <c r="X447" s="281"/>
    </row>
    <row r="448" spans="2:24" ht="12.75" outlineLevel="1">
      <c r="B448" s="289" t="s">
        <v>222</v>
      </c>
      <c r="C448" s="176"/>
      <c r="D448" s="176"/>
      <c r="E448" s="48"/>
      <c r="F448" s="48"/>
      <c r="G448" s="49"/>
      <c r="H448" s="49"/>
      <c r="I448" s="48"/>
      <c r="J448" s="48"/>
      <c r="K448" s="49"/>
      <c r="L448" s="49"/>
      <c r="M448" s="47"/>
      <c r="N448" s="47"/>
      <c r="O448" s="285"/>
      <c r="P448" s="281"/>
      <c r="Q448" s="281"/>
      <c r="R448" s="281"/>
      <c r="S448" s="281"/>
      <c r="T448" s="281"/>
      <c r="U448" s="281"/>
      <c r="V448" s="281"/>
      <c r="W448" s="281"/>
      <c r="X448" s="281"/>
    </row>
    <row r="449" spans="2:24" ht="12.75" outlineLevel="1">
      <c r="B449" s="288" t="s">
        <v>199</v>
      </c>
      <c r="C449" s="176"/>
      <c r="D449" s="176"/>
      <c r="E449" s="280"/>
      <c r="F449" s="54"/>
      <c r="G449" s="49"/>
      <c r="H449" s="49"/>
      <c r="I449" s="54"/>
      <c r="J449" s="54"/>
      <c r="K449" s="49"/>
      <c r="L449" s="49"/>
      <c r="M449" s="47"/>
      <c r="N449" s="47"/>
      <c r="O449" s="285"/>
      <c r="P449" s="281"/>
      <c r="Q449" s="281"/>
      <c r="R449" s="281"/>
      <c r="S449" s="281"/>
      <c r="T449" s="281"/>
      <c r="U449" s="281"/>
      <c r="V449" s="281"/>
      <c r="W449" s="281"/>
      <c r="X449" s="281"/>
    </row>
    <row r="450" spans="2:24" ht="12.75" outlineLevel="1">
      <c r="B450" s="288" t="s">
        <v>211</v>
      </c>
      <c r="C450" s="176"/>
      <c r="D450" s="176"/>
      <c r="E450" s="280"/>
      <c r="F450" s="54"/>
      <c r="G450" s="49"/>
      <c r="H450" s="49"/>
      <c r="I450" s="54"/>
      <c r="J450" s="54"/>
      <c r="K450" s="49"/>
      <c r="L450" s="49"/>
      <c r="M450" s="47"/>
      <c r="N450" s="47"/>
      <c r="O450" s="285"/>
      <c r="P450" s="281"/>
      <c r="Q450" s="281"/>
      <c r="R450" s="281"/>
      <c r="S450" s="281"/>
      <c r="T450" s="281"/>
      <c r="U450" s="281"/>
      <c r="V450" s="281"/>
      <c r="W450" s="281"/>
      <c r="X450" s="281"/>
    </row>
    <row r="451" spans="2:24" ht="12.75" outlineLevel="1">
      <c r="B451" s="288" t="s">
        <v>221</v>
      </c>
      <c r="C451" s="176"/>
      <c r="D451" s="176"/>
      <c r="E451" s="280"/>
      <c r="F451" s="54"/>
      <c r="G451" s="49"/>
      <c r="H451" s="49"/>
      <c r="I451" s="54"/>
      <c r="J451" s="54"/>
      <c r="K451" s="49"/>
      <c r="L451" s="49"/>
      <c r="M451" s="47"/>
      <c r="N451" s="47"/>
      <c r="O451" s="285"/>
      <c r="P451" s="281"/>
      <c r="Q451" s="281"/>
      <c r="R451" s="281"/>
      <c r="S451" s="281"/>
      <c r="T451" s="281"/>
      <c r="U451" s="281"/>
      <c r="V451" s="281"/>
      <c r="W451" s="281"/>
      <c r="X451" s="281"/>
    </row>
    <row r="452" spans="2:24" ht="12.75" outlineLevel="1">
      <c r="B452" s="288" t="s">
        <v>202</v>
      </c>
      <c r="C452" s="176"/>
      <c r="D452" s="176"/>
      <c r="E452" s="280"/>
      <c r="F452" s="54"/>
      <c r="G452" s="49"/>
      <c r="H452" s="49"/>
      <c r="I452" s="54"/>
      <c r="J452" s="54"/>
      <c r="K452" s="49"/>
      <c r="L452" s="49"/>
      <c r="M452" s="47"/>
      <c r="N452" s="47"/>
      <c r="O452" s="285"/>
      <c r="P452" s="281"/>
      <c r="Q452" s="281"/>
      <c r="R452" s="281"/>
      <c r="S452" s="281"/>
      <c r="T452" s="281"/>
      <c r="U452" s="281"/>
      <c r="V452" s="281"/>
      <c r="W452" s="281"/>
      <c r="X452" s="281"/>
    </row>
    <row r="453" spans="2:24" ht="12.75" outlineLevel="1">
      <c r="B453" s="288" t="s">
        <v>247</v>
      </c>
      <c r="C453" s="176"/>
      <c r="D453" s="176"/>
      <c r="E453" s="48"/>
      <c r="F453" s="48"/>
      <c r="G453" s="49"/>
      <c r="H453" s="49"/>
      <c r="I453" s="48"/>
      <c r="J453" s="48"/>
      <c r="K453" s="49"/>
      <c r="L453" s="49"/>
      <c r="M453" s="47"/>
      <c r="N453" s="47"/>
      <c r="O453" s="285"/>
      <c r="P453" s="281"/>
      <c r="Q453" s="281"/>
      <c r="R453" s="281"/>
      <c r="S453" s="281"/>
      <c r="T453" s="281"/>
      <c r="U453" s="281"/>
      <c r="V453" s="281"/>
      <c r="W453" s="281"/>
      <c r="X453" s="281"/>
    </row>
    <row r="454" spans="2:24" ht="12.75" outlineLevel="1">
      <c r="B454" s="289" t="s">
        <v>223</v>
      </c>
      <c r="C454" s="176"/>
      <c r="D454" s="176"/>
      <c r="E454" s="48"/>
      <c r="F454" s="48"/>
      <c r="G454" s="49"/>
      <c r="H454" s="49"/>
      <c r="I454" s="48"/>
      <c r="J454" s="48"/>
      <c r="K454" s="49"/>
      <c r="L454" s="49"/>
      <c r="M454" s="47"/>
      <c r="N454" s="47"/>
      <c r="O454" s="285"/>
      <c r="P454" s="281"/>
      <c r="Q454" s="281"/>
      <c r="R454" s="281"/>
      <c r="S454" s="281"/>
      <c r="T454" s="281"/>
      <c r="U454" s="281"/>
      <c r="V454" s="281"/>
      <c r="W454" s="281"/>
      <c r="X454" s="281"/>
    </row>
    <row r="455" spans="2:24" ht="12.75" outlineLevel="1">
      <c r="B455" s="288" t="s">
        <v>199</v>
      </c>
      <c r="C455" s="176"/>
      <c r="D455" s="176"/>
      <c r="E455" s="54"/>
      <c r="F455" s="54"/>
      <c r="G455" s="49"/>
      <c r="H455" s="49"/>
      <c r="I455" s="54"/>
      <c r="J455" s="54"/>
      <c r="K455" s="49"/>
      <c r="L455" s="49"/>
      <c r="M455" s="47"/>
      <c r="N455" s="47"/>
      <c r="O455" s="285"/>
      <c r="P455" s="281"/>
      <c r="Q455" s="281"/>
      <c r="R455" s="281"/>
      <c r="S455" s="281"/>
      <c r="T455" s="281"/>
      <c r="U455" s="281"/>
      <c r="V455" s="281"/>
      <c r="W455" s="281"/>
      <c r="X455" s="281"/>
    </row>
    <row r="456" spans="2:24" ht="12.75" outlineLevel="1">
      <c r="B456" s="288" t="s">
        <v>211</v>
      </c>
      <c r="C456" s="176"/>
      <c r="D456" s="176"/>
      <c r="E456" s="54"/>
      <c r="F456" s="54"/>
      <c r="G456" s="49"/>
      <c r="H456" s="49"/>
      <c r="I456" s="54"/>
      <c r="J456" s="54"/>
      <c r="K456" s="49"/>
      <c r="L456" s="49"/>
      <c r="M456" s="47"/>
      <c r="N456" s="47"/>
      <c r="O456" s="285"/>
      <c r="P456" s="281"/>
      <c r="Q456" s="281"/>
      <c r="R456" s="281"/>
      <c r="S456" s="281"/>
      <c r="T456" s="281"/>
      <c r="U456" s="281"/>
      <c r="V456" s="281"/>
      <c r="W456" s="281"/>
      <c r="X456" s="281"/>
    </row>
    <row r="457" spans="2:24" ht="12.75" outlineLevel="1">
      <c r="B457" s="288" t="s">
        <v>224</v>
      </c>
      <c r="C457" s="176"/>
      <c r="D457" s="176"/>
      <c r="E457" s="54"/>
      <c r="F457" s="54"/>
      <c r="G457" s="49"/>
      <c r="H457" s="49"/>
      <c r="I457" s="54"/>
      <c r="J457" s="54"/>
      <c r="K457" s="49"/>
      <c r="L457" s="49"/>
      <c r="M457" s="47"/>
      <c r="N457" s="47"/>
      <c r="O457" s="285"/>
      <c r="P457" s="281"/>
      <c r="Q457" s="281"/>
      <c r="R457" s="281"/>
      <c r="S457" s="281"/>
      <c r="T457" s="281"/>
      <c r="U457" s="281"/>
      <c r="V457" s="281"/>
      <c r="W457" s="281"/>
      <c r="X457" s="281"/>
    </row>
    <row r="458" spans="2:24" ht="12.75" outlineLevel="1">
      <c r="B458" s="288" t="s">
        <v>247</v>
      </c>
      <c r="C458" s="176"/>
      <c r="D458" s="176"/>
      <c r="E458" s="48"/>
      <c r="F458" s="48"/>
      <c r="G458" s="49"/>
      <c r="H458" s="49"/>
      <c r="I458" s="48"/>
      <c r="J458" s="48"/>
      <c r="K458" s="49"/>
      <c r="L458" s="49"/>
      <c r="M458" s="47"/>
      <c r="N458" s="47"/>
      <c r="O458" s="285"/>
      <c r="P458" s="281"/>
      <c r="Q458" s="281"/>
      <c r="R458" s="281"/>
      <c r="S458" s="281"/>
      <c r="T458" s="281"/>
      <c r="U458" s="281"/>
      <c r="V458" s="281"/>
      <c r="W458" s="281"/>
      <c r="X458" s="281"/>
    </row>
    <row r="459" spans="2:24" ht="12.75" outlineLevel="1">
      <c r="B459" s="289" t="s">
        <v>225</v>
      </c>
      <c r="C459" s="176"/>
      <c r="D459" s="176"/>
      <c r="E459" s="48"/>
      <c r="F459" s="48"/>
      <c r="G459" s="49"/>
      <c r="H459" s="49"/>
      <c r="I459" s="48"/>
      <c r="J459" s="48"/>
      <c r="K459" s="49"/>
      <c r="L459" s="49"/>
      <c r="M459" s="47"/>
      <c r="N459" s="47"/>
      <c r="O459" s="285"/>
      <c r="P459" s="281"/>
      <c r="Q459" s="281"/>
      <c r="R459" s="281"/>
      <c r="S459" s="281"/>
      <c r="T459" s="281"/>
      <c r="U459" s="281"/>
      <c r="V459" s="281"/>
      <c r="W459" s="281"/>
      <c r="X459" s="281"/>
    </row>
    <row r="460" spans="2:24" ht="12.75" outlineLevel="1">
      <c r="B460" s="288" t="s">
        <v>199</v>
      </c>
      <c r="C460" s="176"/>
      <c r="D460" s="176"/>
      <c r="E460" s="54"/>
      <c r="F460" s="54"/>
      <c r="G460" s="49"/>
      <c r="H460" s="280"/>
      <c r="I460" s="54"/>
      <c r="J460" s="54"/>
      <c r="K460" s="49"/>
      <c r="L460" s="49"/>
      <c r="M460" s="47"/>
      <c r="N460" s="47"/>
      <c r="O460" s="285"/>
      <c r="P460" s="281"/>
      <c r="Q460" s="281"/>
      <c r="R460" s="281"/>
      <c r="S460" s="281"/>
      <c r="T460" s="281"/>
      <c r="U460" s="281"/>
      <c r="V460" s="281"/>
      <c r="W460" s="281"/>
      <c r="X460" s="281"/>
    </row>
    <row r="461" spans="2:24" ht="12.75" outlineLevel="1">
      <c r="B461" s="288" t="s">
        <v>221</v>
      </c>
      <c r="C461" s="176"/>
      <c r="D461" s="176"/>
      <c r="E461" s="54"/>
      <c r="F461" s="54"/>
      <c r="G461" s="49"/>
      <c r="H461" s="280"/>
      <c r="I461" s="54"/>
      <c r="J461" s="54"/>
      <c r="K461" s="49"/>
      <c r="L461" s="49"/>
      <c r="M461" s="47"/>
      <c r="N461" s="47"/>
      <c r="O461" s="285"/>
      <c r="P461" s="281"/>
      <c r="Q461" s="281"/>
      <c r="R461" s="281"/>
      <c r="S461" s="281"/>
      <c r="T461" s="281"/>
      <c r="U461" s="281"/>
      <c r="V461" s="281"/>
      <c r="W461" s="281"/>
      <c r="X461" s="281"/>
    </row>
    <row r="462" spans="2:24" ht="12.75" outlineLevel="1">
      <c r="B462" s="288" t="s">
        <v>202</v>
      </c>
      <c r="C462" s="176"/>
      <c r="D462" s="176"/>
      <c r="E462" s="54"/>
      <c r="F462" s="54"/>
      <c r="G462" s="49"/>
      <c r="H462" s="280"/>
      <c r="I462" s="54"/>
      <c r="J462" s="54"/>
      <c r="K462" s="49"/>
      <c r="L462" s="49"/>
      <c r="M462" s="47"/>
      <c r="N462" s="47"/>
      <c r="O462" s="285"/>
      <c r="P462" s="281"/>
      <c r="Q462" s="281"/>
      <c r="R462" s="281"/>
      <c r="S462" s="281"/>
      <c r="T462" s="281"/>
      <c r="U462" s="281"/>
      <c r="V462" s="281"/>
      <c r="W462" s="281"/>
      <c r="X462" s="281"/>
    </row>
    <row r="463" spans="2:24" ht="12.75" outlineLevel="1">
      <c r="B463" s="288" t="s">
        <v>247</v>
      </c>
      <c r="C463" s="176"/>
      <c r="D463" s="176"/>
      <c r="E463" s="51"/>
      <c r="F463" s="51"/>
      <c r="G463" s="49"/>
      <c r="H463" s="49"/>
      <c r="I463" s="51"/>
      <c r="J463" s="51"/>
      <c r="K463" s="49"/>
      <c r="L463" s="49"/>
      <c r="M463" s="47"/>
      <c r="N463" s="47"/>
      <c r="O463" s="285"/>
      <c r="P463" s="281"/>
      <c r="Q463" s="281"/>
      <c r="R463" s="281"/>
      <c r="S463" s="281"/>
      <c r="T463" s="281"/>
      <c r="U463" s="281"/>
      <c r="V463" s="281"/>
      <c r="W463" s="281"/>
      <c r="X463" s="281"/>
    </row>
    <row r="464" spans="2:24" ht="12.75" outlineLevel="1">
      <c r="B464" s="289" t="s">
        <v>226</v>
      </c>
      <c r="C464" s="176"/>
      <c r="D464" s="176"/>
      <c r="E464" s="48"/>
      <c r="F464" s="48"/>
      <c r="G464" s="49"/>
      <c r="H464" s="49"/>
      <c r="I464" s="48"/>
      <c r="J464" s="48"/>
      <c r="K464" s="49"/>
      <c r="L464" s="49"/>
      <c r="M464" s="47"/>
      <c r="N464" s="47"/>
      <c r="O464" s="285"/>
      <c r="P464" s="281"/>
      <c r="Q464" s="281"/>
      <c r="R464" s="281"/>
      <c r="S464" s="281"/>
      <c r="T464" s="281"/>
      <c r="U464" s="281"/>
      <c r="V464" s="281"/>
      <c r="W464" s="281"/>
      <c r="X464" s="281"/>
    </row>
    <row r="465" spans="2:24" ht="12.75" outlineLevel="1">
      <c r="B465" s="288" t="s">
        <v>199</v>
      </c>
      <c r="C465" s="176"/>
      <c r="D465" s="176"/>
      <c r="E465" s="54"/>
      <c r="F465" s="54"/>
      <c r="G465" s="49"/>
      <c r="H465" s="49"/>
      <c r="I465" s="54"/>
      <c r="J465" s="54"/>
      <c r="K465" s="49"/>
      <c r="L465" s="49"/>
      <c r="M465" s="47"/>
      <c r="N465" s="47"/>
      <c r="O465" s="285"/>
      <c r="P465" s="281"/>
      <c r="Q465" s="281"/>
      <c r="R465" s="281"/>
      <c r="S465" s="281"/>
      <c r="T465" s="281"/>
      <c r="U465" s="281"/>
      <c r="V465" s="281"/>
      <c r="W465" s="281"/>
      <c r="X465" s="281"/>
    </row>
    <row r="466" spans="2:24" ht="12.75" outlineLevel="1">
      <c r="B466" s="288" t="s">
        <v>224</v>
      </c>
      <c r="C466" s="176"/>
      <c r="D466" s="176"/>
      <c r="E466" s="54"/>
      <c r="F466" s="54"/>
      <c r="G466" s="49"/>
      <c r="H466" s="49"/>
      <c r="I466" s="54"/>
      <c r="J466" s="54"/>
      <c r="K466" s="49"/>
      <c r="L466" s="49"/>
      <c r="M466" s="47"/>
      <c r="N466" s="47"/>
      <c r="O466" s="285"/>
      <c r="P466" s="281"/>
      <c r="Q466" s="281"/>
      <c r="R466" s="281"/>
      <c r="S466" s="281"/>
      <c r="T466" s="281"/>
      <c r="U466" s="281"/>
      <c r="V466" s="281"/>
      <c r="W466" s="281"/>
      <c r="X466" s="281"/>
    </row>
    <row r="467" spans="2:24" ht="12.75" outlineLevel="1">
      <c r="B467" s="288" t="s">
        <v>247</v>
      </c>
      <c r="C467" s="176"/>
      <c r="D467" s="176"/>
      <c r="E467" s="54"/>
      <c r="F467" s="54"/>
      <c r="G467" s="49"/>
      <c r="H467" s="49"/>
      <c r="I467" s="54"/>
      <c r="J467" s="54"/>
      <c r="K467" s="49"/>
      <c r="L467" s="49"/>
      <c r="M467" s="47"/>
      <c r="N467" s="47"/>
      <c r="O467" s="285"/>
      <c r="P467" s="281"/>
      <c r="Q467" s="281"/>
      <c r="R467" s="281"/>
      <c r="S467" s="281"/>
      <c r="T467" s="281"/>
      <c r="U467" s="281"/>
      <c r="V467" s="281"/>
      <c r="W467" s="281"/>
      <c r="X467" s="281"/>
    </row>
    <row r="468" spans="2:24" ht="12.75" outlineLevel="1">
      <c r="B468" s="289" t="s">
        <v>232</v>
      </c>
      <c r="C468" s="176"/>
      <c r="D468" s="176"/>
      <c r="E468" s="54"/>
      <c r="F468" s="54"/>
      <c r="G468" s="49"/>
      <c r="H468" s="49"/>
      <c r="I468" s="54"/>
      <c r="J468" s="54"/>
      <c r="K468" s="49"/>
      <c r="L468" s="49"/>
      <c r="M468" s="47"/>
      <c r="N468" s="47"/>
      <c r="O468" s="285"/>
      <c r="P468" s="281"/>
      <c r="Q468" s="281"/>
      <c r="R468" s="281"/>
      <c r="S468" s="281"/>
      <c r="T468" s="281"/>
      <c r="U468" s="281"/>
      <c r="V468" s="281"/>
      <c r="W468" s="281"/>
      <c r="X468" s="281"/>
    </row>
    <row r="469" spans="2:24" ht="12.75" outlineLevel="1">
      <c r="B469" s="288" t="s">
        <v>199</v>
      </c>
      <c r="C469" s="176"/>
      <c r="D469" s="176"/>
      <c r="E469" s="54"/>
      <c r="F469" s="54"/>
      <c r="G469" s="49"/>
      <c r="H469" s="49"/>
      <c r="I469" s="54"/>
      <c r="J469" s="54"/>
      <c r="K469" s="49"/>
      <c r="L469" s="49"/>
      <c r="M469" s="47"/>
      <c r="N469" s="47"/>
      <c r="O469" s="285"/>
      <c r="P469" s="281"/>
      <c r="Q469" s="281"/>
      <c r="R469" s="281"/>
      <c r="S469" s="281"/>
      <c r="T469" s="281"/>
      <c r="U469" s="281"/>
      <c r="V469" s="281"/>
      <c r="W469" s="281"/>
      <c r="X469" s="281"/>
    </row>
    <row r="470" spans="2:24" ht="12.75" outlineLevel="1">
      <c r="B470" s="288" t="s">
        <v>221</v>
      </c>
      <c r="C470" s="176"/>
      <c r="D470" s="176"/>
      <c r="E470" s="54"/>
      <c r="F470" s="54"/>
      <c r="G470" s="49"/>
      <c r="H470" s="49"/>
      <c r="I470" s="54"/>
      <c r="J470" s="54"/>
      <c r="K470" s="49"/>
      <c r="L470" s="49"/>
      <c r="M470" s="47"/>
      <c r="N470" s="47"/>
      <c r="O470" s="285"/>
      <c r="P470" s="281"/>
      <c r="Q470" s="281"/>
      <c r="R470" s="281"/>
      <c r="S470" s="281"/>
      <c r="T470" s="281"/>
      <c r="U470" s="281"/>
      <c r="V470" s="281"/>
      <c r="W470" s="281"/>
      <c r="X470" s="281"/>
    </row>
    <row r="471" spans="2:24" ht="12.75" outlineLevel="1">
      <c r="B471" s="288" t="s">
        <v>202</v>
      </c>
      <c r="C471" s="176"/>
      <c r="D471" s="176"/>
      <c r="E471" s="48"/>
      <c r="F471" s="48"/>
      <c r="G471" s="49"/>
      <c r="H471" s="49"/>
      <c r="I471" s="54"/>
      <c r="J471" s="54"/>
      <c r="K471" s="49"/>
      <c r="L471" s="49"/>
      <c r="M471" s="47"/>
      <c r="N471" s="47"/>
      <c r="O471" s="285"/>
      <c r="P471" s="281"/>
      <c r="Q471" s="281"/>
      <c r="R471" s="281"/>
      <c r="S471" s="281"/>
      <c r="T471" s="281"/>
      <c r="U471" s="281"/>
      <c r="V471" s="281"/>
      <c r="W471" s="281"/>
      <c r="X471" s="281"/>
    </row>
    <row r="472" spans="2:24" ht="12.75" outlineLevel="1">
      <c r="B472" s="170"/>
      <c r="C472" s="170"/>
      <c r="D472" s="170"/>
      <c r="E472" s="48"/>
      <c r="F472" s="48"/>
      <c r="G472" s="49"/>
      <c r="H472" s="49"/>
      <c r="I472" s="54"/>
      <c r="J472" s="54"/>
      <c r="K472" s="49"/>
      <c r="L472" s="49"/>
      <c r="M472" s="47"/>
      <c r="N472" s="47"/>
      <c r="O472" s="285"/>
      <c r="P472" s="281"/>
      <c r="Q472" s="281"/>
      <c r="R472" s="281"/>
      <c r="S472" s="281"/>
      <c r="T472" s="281"/>
      <c r="U472" s="281"/>
      <c r="V472" s="281"/>
      <c r="W472" s="281"/>
      <c r="X472" s="281"/>
    </row>
    <row r="473" spans="2:24" ht="12.75" outlineLevel="1">
      <c r="B473" s="171" t="s">
        <v>506</v>
      </c>
      <c r="C473" s="170"/>
      <c r="D473" s="170"/>
      <c r="E473" s="48"/>
      <c r="F473" s="48"/>
      <c r="G473" s="49"/>
      <c r="H473" s="49"/>
      <c r="I473" s="54"/>
      <c r="J473" s="54"/>
      <c r="K473" s="49"/>
      <c r="L473" s="49"/>
      <c r="M473" s="47"/>
      <c r="N473" s="47"/>
      <c r="O473" s="285"/>
      <c r="P473" s="281"/>
      <c r="Q473" s="281"/>
      <c r="R473" s="281"/>
      <c r="S473" s="281"/>
      <c r="T473" s="281"/>
      <c r="U473" s="281"/>
      <c r="V473" s="281"/>
      <c r="W473" s="281"/>
      <c r="X473" s="281"/>
    </row>
    <row r="474" spans="2:24" ht="12.75" outlineLevel="1">
      <c r="B474" s="170"/>
      <c r="C474" s="170"/>
      <c r="D474" s="170"/>
      <c r="E474" s="48"/>
      <c r="F474" s="48"/>
      <c r="G474" s="49"/>
      <c r="H474" s="49"/>
      <c r="I474" s="54"/>
      <c r="J474" s="54"/>
      <c r="K474" s="49"/>
      <c r="L474" s="49"/>
      <c r="M474" s="47"/>
      <c r="N474" s="47"/>
      <c r="O474" s="285"/>
      <c r="P474" s="281"/>
      <c r="Q474" s="281"/>
      <c r="R474" s="281"/>
      <c r="S474" s="281"/>
      <c r="T474" s="281"/>
      <c r="U474" s="281"/>
      <c r="V474" s="281"/>
      <c r="W474" s="281"/>
      <c r="X474" s="281"/>
    </row>
    <row r="475" spans="2:24" ht="12.75" outlineLevel="1">
      <c r="B475" s="172" t="s">
        <v>235</v>
      </c>
      <c r="C475" s="190"/>
      <c r="D475" s="190"/>
      <c r="E475" s="48"/>
      <c r="F475" s="48"/>
      <c r="G475" s="49"/>
      <c r="H475" s="49"/>
      <c r="I475" s="54"/>
      <c r="J475" s="54"/>
      <c r="K475" s="49"/>
      <c r="L475" s="49"/>
      <c r="M475" s="47"/>
      <c r="N475" s="47"/>
      <c r="O475" s="285"/>
      <c r="P475" s="281"/>
      <c r="Q475" s="281"/>
      <c r="R475" s="281"/>
      <c r="S475" s="281"/>
      <c r="T475" s="281"/>
      <c r="U475" s="281"/>
      <c r="V475" s="281"/>
      <c r="W475" s="281"/>
      <c r="X475" s="281"/>
    </row>
    <row r="476" spans="2:33" ht="12.75" outlineLevel="1">
      <c r="B476" s="170" t="s">
        <v>236</v>
      </c>
      <c r="C476" s="191"/>
      <c r="D476" s="191"/>
      <c r="E476" s="45">
        <v>22611</v>
      </c>
      <c r="F476" s="45">
        <v>84946</v>
      </c>
      <c r="G476" s="45">
        <v>43451.231434195404</v>
      </c>
      <c r="H476" s="45">
        <v>1062646.7104377104</v>
      </c>
      <c r="I476" s="45">
        <v>772155.8670232439</v>
      </c>
      <c r="J476" s="45">
        <v>18103</v>
      </c>
      <c r="K476" s="45">
        <v>569744.6481481481</v>
      </c>
      <c r="L476" s="45">
        <v>24409.2761343099</v>
      </c>
      <c r="M476" s="125">
        <f>SUM(E476:L476)</f>
        <v>2598067.7331776074</v>
      </c>
      <c r="N476" s="47"/>
      <c r="O476" s="285"/>
      <c r="P476" s="281"/>
      <c r="Q476" s="281"/>
      <c r="R476" s="281"/>
      <c r="S476" s="281"/>
      <c r="T476" s="281"/>
      <c r="U476" s="281"/>
      <c r="V476" s="281"/>
      <c r="W476" s="281"/>
      <c r="X476" s="281"/>
      <c r="Z476" s="230"/>
      <c r="AA476" s="230"/>
      <c r="AB476" s="230"/>
      <c r="AC476" s="230"/>
      <c r="AD476" s="230"/>
      <c r="AE476" s="230"/>
      <c r="AF476" s="230"/>
      <c r="AG476" s="230"/>
    </row>
    <row r="477" spans="2:33" ht="12.75" outlineLevel="1">
      <c r="B477" s="170" t="s">
        <v>237</v>
      </c>
      <c r="C477" s="191"/>
      <c r="D477" s="191"/>
      <c r="E477" s="45">
        <v>51953</v>
      </c>
      <c r="F477" s="45">
        <v>202530.66666666666</v>
      </c>
      <c r="G477" s="45">
        <v>102534.11035590449</v>
      </c>
      <c r="H477" s="45">
        <v>2529420.9846499716</v>
      </c>
      <c r="I477" s="45">
        <v>2821905.230655969</v>
      </c>
      <c r="J477" s="45">
        <v>30881.6</v>
      </c>
      <c r="K477" s="45">
        <v>1914290.9144444442</v>
      </c>
      <c r="L477" s="45">
        <v>51753.10552230516</v>
      </c>
      <c r="M477" s="125">
        <f>SUM(E477:L477)</f>
        <v>7705269.612295261</v>
      </c>
      <c r="N477" s="47"/>
      <c r="O477" s="285"/>
      <c r="P477" s="281"/>
      <c r="Q477" s="281"/>
      <c r="R477" s="281"/>
      <c r="S477" s="281"/>
      <c r="T477" s="281"/>
      <c r="U477" s="281"/>
      <c r="V477" s="281"/>
      <c r="W477" s="281"/>
      <c r="X477" s="281"/>
      <c r="Z477" s="230"/>
      <c r="AA477" s="230"/>
      <c r="AB477" s="230"/>
      <c r="AC477" s="230"/>
      <c r="AD477" s="230"/>
      <c r="AE477" s="230"/>
      <c r="AF477" s="230"/>
      <c r="AG477" s="230"/>
    </row>
    <row r="478" spans="2:33" ht="12.75" outlineLevel="1">
      <c r="B478" s="170"/>
      <c r="C478" s="191"/>
      <c r="D478" s="191"/>
      <c r="E478" s="48"/>
      <c r="F478" s="48"/>
      <c r="G478" s="49"/>
      <c r="H478" s="49"/>
      <c r="I478" s="54"/>
      <c r="J478" s="54"/>
      <c r="K478" s="49"/>
      <c r="L478" s="49"/>
      <c r="M478" s="47"/>
      <c r="N478" s="47"/>
      <c r="O478" s="285"/>
      <c r="P478" s="281"/>
      <c r="Q478" s="281"/>
      <c r="R478" s="281"/>
      <c r="S478" s="281"/>
      <c r="T478" s="281"/>
      <c r="U478" s="281"/>
      <c r="V478" s="281"/>
      <c r="W478" s="281"/>
      <c r="X478" s="281"/>
      <c r="Z478" s="230"/>
      <c r="AA478" s="230"/>
      <c r="AB478" s="230"/>
      <c r="AC478" s="230"/>
      <c r="AD478" s="230"/>
      <c r="AE478" s="230"/>
      <c r="AF478" s="230"/>
      <c r="AG478" s="230"/>
    </row>
    <row r="479" spans="2:33" ht="12.75" outlineLevel="1">
      <c r="B479" s="172" t="s">
        <v>493</v>
      </c>
      <c r="C479" s="190"/>
      <c r="D479" s="190"/>
      <c r="E479" s="48"/>
      <c r="F479" s="236"/>
      <c r="G479" s="49"/>
      <c r="H479" s="49"/>
      <c r="I479" s="54"/>
      <c r="J479" s="54"/>
      <c r="K479" s="49"/>
      <c r="L479" s="49"/>
      <c r="M479" s="47"/>
      <c r="N479" s="47"/>
      <c r="O479" s="285"/>
      <c r="P479" s="281"/>
      <c r="Q479" s="281"/>
      <c r="R479" s="281"/>
      <c r="S479" s="281"/>
      <c r="T479" s="281"/>
      <c r="U479" s="281"/>
      <c r="V479" s="281"/>
      <c r="W479" s="281"/>
      <c r="X479" s="281"/>
      <c r="Z479" s="230"/>
      <c r="AA479" s="230"/>
      <c r="AB479" s="230"/>
      <c r="AC479" s="230"/>
      <c r="AD479" s="230"/>
      <c r="AE479" s="230"/>
      <c r="AF479" s="230"/>
      <c r="AG479" s="230"/>
    </row>
    <row r="480" spans="2:33" ht="12.75" outlineLevel="1">
      <c r="B480" s="170" t="s">
        <v>239</v>
      </c>
      <c r="C480" s="191"/>
      <c r="D480" s="191"/>
      <c r="E480" s="45">
        <v>22611</v>
      </c>
      <c r="F480" s="45">
        <v>84946</v>
      </c>
      <c r="G480" s="45">
        <v>43451.231434195404</v>
      </c>
      <c r="H480" s="45">
        <v>1062646.0497157113</v>
      </c>
      <c r="I480" s="45">
        <v>772155.6836754975</v>
      </c>
      <c r="J480" s="45">
        <v>18103</v>
      </c>
      <c r="K480" s="45">
        <v>565931.5445769449</v>
      </c>
      <c r="L480" s="45">
        <v>24409.2761343099</v>
      </c>
      <c r="M480" s="125">
        <f aca="true" t="shared" si="36" ref="M480:M485">SUM(E480:L480)</f>
        <v>2594253.785536659</v>
      </c>
      <c r="N480" s="47"/>
      <c r="O480" s="285"/>
      <c r="P480" s="281"/>
      <c r="Q480" s="281"/>
      <c r="R480" s="281"/>
      <c r="S480" s="281"/>
      <c r="T480" s="281"/>
      <c r="U480" s="281"/>
      <c r="V480" s="281"/>
      <c r="W480" s="281"/>
      <c r="X480" s="281"/>
      <c r="Z480" s="230"/>
      <c r="AA480" s="230"/>
      <c r="AB480" s="230"/>
      <c r="AC480" s="230"/>
      <c r="AD480" s="230"/>
      <c r="AE480" s="230"/>
      <c r="AF480" s="230"/>
      <c r="AG480" s="230"/>
    </row>
    <row r="481" spans="2:33" ht="12.75" outlineLevel="1">
      <c r="B481" s="170" t="s">
        <v>494</v>
      </c>
      <c r="C481" s="191"/>
      <c r="D481" s="191"/>
      <c r="E481" s="45">
        <v>50364</v>
      </c>
      <c r="F481" s="45">
        <v>194549.58333333334</v>
      </c>
      <c r="G481" s="45">
        <v>99162.72408593971</v>
      </c>
      <c r="H481" s="45">
        <v>2408905.4954415876</v>
      </c>
      <c r="I481" s="45">
        <v>2711549.8882688307</v>
      </c>
      <c r="J481" s="45">
        <v>29703.68219178082</v>
      </c>
      <c r="K481" s="45">
        <v>1863898.8691262063</v>
      </c>
      <c r="L481" s="45">
        <v>48234.72570399396</v>
      </c>
      <c r="M481" s="125">
        <f t="shared" si="36"/>
        <v>7406368.968151673</v>
      </c>
      <c r="N481" s="47"/>
      <c r="O481" s="285"/>
      <c r="P481" s="281"/>
      <c r="Q481" s="281"/>
      <c r="R481" s="281"/>
      <c r="S481" s="281"/>
      <c r="T481" s="281"/>
      <c r="U481" s="281"/>
      <c r="V481" s="281"/>
      <c r="W481" s="281"/>
      <c r="X481" s="281"/>
      <c r="Z481" s="230"/>
      <c r="AA481" s="230"/>
      <c r="AB481" s="230"/>
      <c r="AC481" s="230"/>
      <c r="AD481" s="230"/>
      <c r="AE481" s="230"/>
      <c r="AF481" s="230"/>
      <c r="AG481" s="230"/>
    </row>
    <row r="482" spans="2:33" ht="12.75" outlineLevel="1">
      <c r="B482" s="170" t="s">
        <v>241</v>
      </c>
      <c r="C482" s="191"/>
      <c r="D482" s="191"/>
      <c r="E482" s="45">
        <v>846</v>
      </c>
      <c r="F482" s="45">
        <v>3799.0833333333335</v>
      </c>
      <c r="G482" s="45">
        <v>1290.9004197552304</v>
      </c>
      <c r="H482" s="45">
        <v>59041.9101181618</v>
      </c>
      <c r="I482" s="45">
        <v>51190.79270423027</v>
      </c>
      <c r="J482" s="45">
        <v>522.0794520547945</v>
      </c>
      <c r="K482" s="45">
        <v>33572.31351553129</v>
      </c>
      <c r="L482" s="45">
        <v>1415.5076205598832</v>
      </c>
      <c r="M482" s="125">
        <f t="shared" si="36"/>
        <v>151678.58716362662</v>
      </c>
      <c r="N482" s="47"/>
      <c r="O482" s="285"/>
      <c r="P482" s="281"/>
      <c r="Q482" s="281"/>
      <c r="R482" s="281"/>
      <c r="S482" s="281"/>
      <c r="T482" s="281"/>
      <c r="U482" s="281"/>
      <c r="V482" s="281"/>
      <c r="W482" s="281"/>
      <c r="X482" s="281"/>
      <c r="Z482" s="230"/>
      <c r="AA482" s="230"/>
      <c r="AB482" s="230"/>
      <c r="AC482" s="230"/>
      <c r="AD482" s="230"/>
      <c r="AE482" s="230"/>
      <c r="AF482" s="230"/>
      <c r="AG482" s="230"/>
    </row>
    <row r="483" spans="2:33" ht="12.75" outlineLevel="1">
      <c r="B483" s="170" t="s">
        <v>242</v>
      </c>
      <c r="C483" s="191"/>
      <c r="D483" s="191"/>
      <c r="E483" s="45">
        <v>272</v>
      </c>
      <c r="F483" s="45">
        <v>1828.9166666666667</v>
      </c>
      <c r="G483" s="45">
        <v>695.4066076569875</v>
      </c>
      <c r="H483" s="45">
        <v>23480.99805645699</v>
      </c>
      <c r="I483" s="45">
        <v>22699.700382743133</v>
      </c>
      <c r="J483" s="45">
        <v>278.358904109589</v>
      </c>
      <c r="K483" s="45">
        <v>11422.241837568548</v>
      </c>
      <c r="L483" s="45">
        <v>825.3782931568201</v>
      </c>
      <c r="M483" s="125">
        <f t="shared" si="36"/>
        <v>61503.00074835873</v>
      </c>
      <c r="N483" s="47"/>
      <c r="O483" s="285"/>
      <c r="P483" s="281"/>
      <c r="Q483" s="281"/>
      <c r="R483" s="281"/>
      <c r="S483" s="281"/>
      <c r="T483" s="281"/>
      <c r="U483" s="281"/>
      <c r="V483" s="281"/>
      <c r="W483" s="281"/>
      <c r="X483" s="281"/>
      <c r="Z483" s="230"/>
      <c r="AA483" s="230"/>
      <c r="AB483" s="230"/>
      <c r="AC483" s="230"/>
      <c r="AD483" s="230"/>
      <c r="AE483" s="230"/>
      <c r="AF483" s="230"/>
      <c r="AG483" s="230"/>
    </row>
    <row r="484" spans="2:33" ht="12.75" outlineLevel="1">
      <c r="B484" s="170" t="s">
        <v>243</v>
      </c>
      <c r="C484" s="191"/>
      <c r="D484" s="191"/>
      <c r="E484" s="45">
        <v>240</v>
      </c>
      <c r="F484" s="45">
        <v>1229.6666666666665</v>
      </c>
      <c r="G484" s="45">
        <v>1276.248549601393</v>
      </c>
      <c r="H484" s="45">
        <v>21800.589436005735</v>
      </c>
      <c r="I484" s="45">
        <v>20006.56740247667</v>
      </c>
      <c r="J484" s="45">
        <v>211.11780821917804</v>
      </c>
      <c r="K484" s="45">
        <v>12970.429500235234</v>
      </c>
      <c r="L484" s="45">
        <v>660.0514250938229</v>
      </c>
      <c r="M484" s="125">
        <f t="shared" si="36"/>
        <v>58394.67078829869</v>
      </c>
      <c r="N484" s="47"/>
      <c r="O484" s="285"/>
      <c r="P484" s="281"/>
      <c r="Q484" s="281"/>
      <c r="R484" s="281"/>
      <c r="S484" s="281"/>
      <c r="T484" s="281"/>
      <c r="U484" s="281"/>
      <c r="V484" s="281"/>
      <c r="W484" s="281"/>
      <c r="X484" s="281"/>
      <c r="Z484" s="230"/>
      <c r="AA484" s="230"/>
      <c r="AB484" s="230"/>
      <c r="AC484" s="230"/>
      <c r="AD484" s="230"/>
      <c r="AE484" s="230"/>
      <c r="AF484" s="230"/>
      <c r="AG484" s="230"/>
    </row>
    <row r="485" spans="2:33" ht="12.75" outlineLevel="1">
      <c r="B485" s="170" t="s">
        <v>244</v>
      </c>
      <c r="C485" s="191"/>
      <c r="D485" s="191"/>
      <c r="E485" s="45">
        <v>231</v>
      </c>
      <c r="F485" s="45">
        <v>1113</v>
      </c>
      <c r="G485" s="45">
        <v>108.83069295116243</v>
      </c>
      <c r="H485" s="45">
        <v>16621.304398226257</v>
      </c>
      <c r="I485" s="45">
        <v>16457.84176890368</v>
      </c>
      <c r="J485" s="45">
        <v>166.36164383561643</v>
      </c>
      <c r="K485" s="45">
        <v>7482.466732909394</v>
      </c>
      <c r="L485" s="45">
        <v>617.4424795006732</v>
      </c>
      <c r="M485" s="125">
        <f t="shared" si="36"/>
        <v>42798.24771632678</v>
      </c>
      <c r="N485" s="47"/>
      <c r="O485" s="285"/>
      <c r="P485" s="281"/>
      <c r="Q485" s="281"/>
      <c r="R485" s="281"/>
      <c r="S485" s="281"/>
      <c r="T485" s="281"/>
      <c r="U485" s="281"/>
      <c r="V485" s="281"/>
      <c r="W485" s="281"/>
      <c r="X485" s="281"/>
      <c r="Z485" s="230"/>
      <c r="AA485" s="230"/>
      <c r="AB485" s="230"/>
      <c r="AC485" s="230"/>
      <c r="AD485" s="230"/>
      <c r="AE485" s="230"/>
      <c r="AF485" s="230"/>
      <c r="AG485" s="230"/>
    </row>
    <row r="486" spans="2:24" ht="12.75" outlineLevel="1">
      <c r="B486" s="232"/>
      <c r="C486" s="170"/>
      <c r="D486" s="170"/>
      <c r="E486" s="54"/>
      <c r="F486" s="54"/>
      <c r="G486" s="49"/>
      <c r="H486" s="49"/>
      <c r="I486" s="54"/>
      <c r="J486" s="54"/>
      <c r="K486" s="49"/>
      <c r="L486" s="49"/>
      <c r="M486" s="47"/>
      <c r="N486" s="47"/>
      <c r="O486" s="285"/>
      <c r="P486" s="281"/>
      <c r="Q486" s="281"/>
      <c r="R486" s="281"/>
      <c r="S486" s="281"/>
      <c r="T486" s="281"/>
      <c r="U486" s="281"/>
      <c r="V486" s="281"/>
      <c r="W486" s="281"/>
      <c r="X486" s="281"/>
    </row>
    <row r="487" spans="2:24" ht="12.75" outlineLevel="1">
      <c r="B487" s="171" t="s">
        <v>227</v>
      </c>
      <c r="C487" s="171"/>
      <c r="D487" s="171"/>
      <c r="E487" s="54"/>
      <c r="F487" s="54"/>
      <c r="G487" s="49"/>
      <c r="H487" s="49"/>
      <c r="I487" s="54"/>
      <c r="J487" s="54"/>
      <c r="K487" s="49"/>
      <c r="L487" s="49"/>
      <c r="M487" s="47"/>
      <c r="N487" s="47"/>
      <c r="O487" s="285"/>
      <c r="P487" s="281"/>
      <c r="Q487" s="281"/>
      <c r="R487" s="281"/>
      <c r="S487" s="281"/>
      <c r="T487" s="281"/>
      <c r="U487" s="281"/>
      <c r="V487" s="281"/>
      <c r="W487" s="281"/>
      <c r="X487" s="281"/>
    </row>
    <row r="488" spans="2:24" ht="12.75" outlineLevel="1">
      <c r="B488" s="170" t="s">
        <v>247</v>
      </c>
      <c r="C488" s="170"/>
      <c r="D488" s="170"/>
      <c r="E488" s="51"/>
      <c r="F488" s="51"/>
      <c r="G488" s="49"/>
      <c r="H488" s="49"/>
      <c r="I488" s="54"/>
      <c r="J488" s="54"/>
      <c r="K488" s="49"/>
      <c r="L488" s="49"/>
      <c r="M488" s="47"/>
      <c r="N488" s="47"/>
      <c r="O488" s="285"/>
      <c r="P488" s="281"/>
      <c r="Q488" s="281"/>
      <c r="R488" s="281"/>
      <c r="S488" s="281"/>
      <c r="T488" s="281"/>
      <c r="U488" s="281"/>
      <c r="V488" s="281"/>
      <c r="W488" s="281"/>
      <c r="X488" s="281"/>
    </row>
    <row r="489" spans="2:24" ht="12.75" outlineLevel="1">
      <c r="B489" s="169" t="s">
        <v>348</v>
      </c>
      <c r="C489" s="169"/>
      <c r="D489" s="169"/>
      <c r="E489" s="140">
        <f>'PAV (incl RV)'!E268</f>
        <v>22611</v>
      </c>
      <c r="F489" s="140">
        <f>'PAV (incl RV)'!J268</f>
        <v>84946</v>
      </c>
      <c r="G489" s="140">
        <f>'PAV (incl RV)'!T268</f>
        <v>44297.611249095964</v>
      </c>
      <c r="H489" s="140">
        <f>'PAV (incl RV)'!O268</f>
        <v>1062638.4827764828</v>
      </c>
      <c r="I489" s="140">
        <f>'PAV (incl RV)'!Y268</f>
        <v>772155.8848441471</v>
      </c>
      <c r="J489" s="140">
        <f>'PAV (incl RV)'!AD268</f>
        <v>18103</v>
      </c>
      <c r="K489" s="140">
        <f>'PAV (incl RV)'!AI268</f>
        <v>562227.8859649124</v>
      </c>
      <c r="L489" s="140">
        <f>'PAV (incl RV)'!AN268</f>
        <v>24409.2761343099</v>
      </c>
      <c r="M489" s="125">
        <f aca="true" t="shared" si="37" ref="M489:M496">SUM(E489:L489)</f>
        <v>2591389.140968948</v>
      </c>
      <c r="N489" s="55"/>
      <c r="O489" s="286"/>
      <c r="P489" s="284"/>
      <c r="Q489" s="284"/>
      <c r="R489" s="284"/>
      <c r="S489" s="284"/>
      <c r="T489" s="284"/>
      <c r="U489" s="284"/>
      <c r="V489" s="284"/>
      <c r="W489" s="284"/>
      <c r="X489" s="284"/>
    </row>
    <row r="490" spans="2:24" ht="12.75" outlineLevel="1">
      <c r="B490" s="169" t="s">
        <v>349</v>
      </c>
      <c r="C490" s="169"/>
      <c r="D490" s="169"/>
      <c r="E490" s="140">
        <f>'PAV (incl RV)'!E269</f>
        <v>50364</v>
      </c>
      <c r="F490" s="140">
        <f>'PAV (incl RV)'!J269</f>
        <v>195378.583499812</v>
      </c>
      <c r="G490" s="140">
        <f>'PAV (incl RV)'!T269</f>
        <v>99272.0752223584</v>
      </c>
      <c r="H490" s="140">
        <f>'PAV (incl RV)'!O269</f>
        <v>2407244.50042371</v>
      </c>
      <c r="I490" s="140">
        <f>'PAV (incl RV)'!Y269</f>
        <v>2711550.16533849</v>
      </c>
      <c r="J490" s="140">
        <f>'PAV (incl RV)'!AD269</f>
        <v>29704</v>
      </c>
      <c r="K490" s="140">
        <f>'PAV (incl RV)'!AI269</f>
        <v>1838374.64358108</v>
      </c>
      <c r="L490" s="140">
        <f>'PAV (incl RV)'!AN269</f>
        <v>48234.725703994</v>
      </c>
      <c r="M490" s="125">
        <f t="shared" si="37"/>
        <v>7380122.693769445</v>
      </c>
      <c r="N490" s="55"/>
      <c r="O490" s="286"/>
      <c r="P490" s="284"/>
      <c r="Q490" s="284"/>
      <c r="R490" s="284"/>
      <c r="S490" s="284"/>
      <c r="T490" s="284"/>
      <c r="U490" s="284"/>
      <c r="V490" s="284"/>
      <c r="W490" s="284"/>
      <c r="X490" s="284"/>
    </row>
    <row r="491" spans="2:24" ht="12.75" outlineLevel="1">
      <c r="B491" s="169" t="s">
        <v>350</v>
      </c>
      <c r="C491" s="169"/>
      <c r="D491" s="169"/>
      <c r="E491" s="140">
        <f>'PAV (incl RV)'!E270</f>
        <v>1589</v>
      </c>
      <c r="F491" s="140">
        <f>'PAV (incl RV)'!J270</f>
        <v>7152.08316685507</v>
      </c>
      <c r="G491" s="140">
        <f>'PAV (incl RV)'!T270</f>
        <v>3375.00810764053</v>
      </c>
      <c r="H491" s="140">
        <f>'PAV (incl RV)'!O270</f>
        <v>121967.800299048</v>
      </c>
      <c r="I491" s="140">
        <f>'PAV (incl RV)'!Y270</f>
        <v>111893.63377086111</v>
      </c>
      <c r="J491" s="140">
        <f>'PAV (incl RV)'!AD270</f>
        <v>1178</v>
      </c>
      <c r="K491" s="140">
        <f>'PAV (incl RV)'!AI270</f>
        <v>79147.4470198675</v>
      </c>
      <c r="L491" s="140">
        <f>'PAV (incl RV)'!AN270</f>
        <v>3665.774202451237</v>
      </c>
      <c r="M491" s="125">
        <f t="shared" si="37"/>
        <v>329968.74656672345</v>
      </c>
      <c r="N491" s="55"/>
      <c r="O491" s="286"/>
      <c r="P491" s="284"/>
      <c r="Q491" s="284"/>
      <c r="R491" s="284"/>
      <c r="S491" s="284"/>
      <c r="T491" s="284"/>
      <c r="U491" s="284"/>
      <c r="V491" s="284"/>
      <c r="W491" s="284"/>
      <c r="X491" s="284"/>
    </row>
    <row r="492" spans="2:24" ht="12.75" outlineLevel="1">
      <c r="B492" s="169" t="s">
        <v>341</v>
      </c>
      <c r="C492" s="169"/>
      <c r="D492" s="169"/>
      <c r="E492" s="140">
        <f>'PAV (incl RV)'!E271</f>
        <v>514</v>
      </c>
      <c r="F492" s="140">
        <f>'PAV (incl RV)'!J271</f>
        <v>1797.3333333333333</v>
      </c>
      <c r="G492" s="140">
        <f>'PAV (incl RV)'!T271</f>
        <v>657.6231129856694</v>
      </c>
      <c r="H492" s="140">
        <f>'PAV (incl RV)'!O271</f>
        <v>12070.145313782992</v>
      </c>
      <c r="I492" s="140">
        <f>'PAV (incl RV)'!Y271</f>
        <v>23529.796768586602</v>
      </c>
      <c r="J492" s="140">
        <f>'PAV (incl RV)'!AD271</f>
        <v>256.15999999999997</v>
      </c>
      <c r="K492" s="140">
        <f>'PAV (incl RV)'!AI271</f>
        <v>14040.836240310078</v>
      </c>
      <c r="L492" s="140">
        <f>'PAV (incl RV)'!AN271</f>
        <v>991.3631659218871</v>
      </c>
      <c r="M492" s="125">
        <f t="shared" si="37"/>
        <v>53857.25793492057</v>
      </c>
      <c r="N492" s="55"/>
      <c r="O492" s="286"/>
      <c r="P492" s="284"/>
      <c r="Q492" s="284"/>
      <c r="R492" s="284"/>
      <c r="S492" s="284"/>
      <c r="T492" s="284"/>
      <c r="U492" s="284"/>
      <c r="V492" s="284"/>
      <c r="W492" s="284"/>
      <c r="X492" s="284"/>
    </row>
    <row r="493" spans="2:24" ht="12.75" outlineLevel="1">
      <c r="B493" s="169" t="s">
        <v>343</v>
      </c>
      <c r="C493" s="169"/>
      <c r="D493" s="169"/>
      <c r="E493" s="140">
        <f>'PAV (incl RV)'!E272</f>
        <v>30</v>
      </c>
      <c r="F493" s="140">
        <f>'PAV (incl RV)'!J272</f>
        <v>400.75000000000006</v>
      </c>
      <c r="G493" s="140">
        <f>'PAV (incl RV)'!T272</f>
        <v>583.941782793161</v>
      </c>
      <c r="H493" s="140">
        <f>'PAV (incl RV)'!O272</f>
        <v>14023.152449822903</v>
      </c>
      <c r="I493" s="140">
        <f>'PAV (incl RV)'!Y272</f>
        <v>2353.36634722222</v>
      </c>
      <c r="J493" s="140">
        <f>'PAV (incl RV)'!AD272</f>
        <v>18.73</v>
      </c>
      <c r="K493" s="140">
        <f>'PAV (incl RV)'!AI272</f>
        <v>4699.14005702082</v>
      </c>
      <c r="L493" s="140">
        <f>'PAV (incl RV)'!AN272</f>
        <v>354.91364985360326</v>
      </c>
      <c r="M493" s="125">
        <f t="shared" si="37"/>
        <v>22463.994286712707</v>
      </c>
      <c r="N493" s="55"/>
      <c r="O493" s="286"/>
      <c r="P493" s="284"/>
      <c r="Q493" s="284"/>
      <c r="R493" s="284"/>
      <c r="S493" s="284"/>
      <c r="T493" s="284"/>
      <c r="U493" s="284"/>
      <c r="V493" s="284"/>
      <c r="W493" s="284"/>
      <c r="X493" s="284"/>
    </row>
    <row r="494" spans="2:24" ht="12.75" outlineLevel="1">
      <c r="B494" s="169" t="s">
        <v>345</v>
      </c>
      <c r="C494" s="169"/>
      <c r="D494" s="169"/>
      <c r="E494" s="140">
        <f>'PAV (incl RV)'!E273</f>
        <v>0</v>
      </c>
      <c r="F494" s="140">
        <f>'PAV (incl RV)'!J273</f>
        <v>10</v>
      </c>
      <c r="G494" s="140">
        <f>'PAV (incl RV)'!T273</f>
        <v>4.988702183775625</v>
      </c>
      <c r="H494" s="140">
        <f>'PAV (incl RV)'!O273</f>
        <v>832.5002357337438</v>
      </c>
      <c r="I494" s="140">
        <f>'PAV (incl RV)'!Y273</f>
        <v>192.9894470426389</v>
      </c>
      <c r="J494" s="140">
        <f>'PAV (incl RV)'!AD273</f>
        <v>0</v>
      </c>
      <c r="K494" s="140">
        <f>'PAV (incl RV)'!AI273</f>
        <v>155.4660306245226</v>
      </c>
      <c r="L494" s="140">
        <f>'PAV (incl RV)'!AN273</f>
        <v>28.81530098849528</v>
      </c>
      <c r="M494" s="125">
        <f t="shared" si="37"/>
        <v>1224.759716573176</v>
      </c>
      <c r="N494" s="55"/>
      <c r="O494" s="286"/>
      <c r="P494" s="284"/>
      <c r="Q494" s="284"/>
      <c r="R494" s="284"/>
      <c r="S494" s="284"/>
      <c r="T494" s="284"/>
      <c r="U494" s="284"/>
      <c r="V494" s="284"/>
      <c r="W494" s="284"/>
      <c r="X494" s="284"/>
    </row>
    <row r="495" spans="2:24" s="44" customFormat="1" ht="12.75" outlineLevel="1">
      <c r="B495" s="170"/>
      <c r="C495" s="170"/>
      <c r="D495" s="170"/>
      <c r="E495" s="55"/>
      <c r="F495" s="55"/>
      <c r="G495" s="55"/>
      <c r="H495" s="55"/>
      <c r="I495" s="55"/>
      <c r="J495" s="55"/>
      <c r="K495" s="55"/>
      <c r="L495" s="55"/>
      <c r="M495" s="55"/>
      <c r="N495" s="47"/>
      <c r="O495" s="285"/>
      <c r="P495" s="281"/>
      <c r="Q495" s="281"/>
      <c r="R495" s="281"/>
      <c r="S495" s="281"/>
      <c r="T495" s="281"/>
      <c r="U495" s="281"/>
      <c r="V495" s="281"/>
      <c r="W495" s="281"/>
      <c r="X495" s="281"/>
    </row>
    <row r="496" spans="2:24" ht="12.75" outlineLevel="1">
      <c r="B496" s="170" t="s">
        <v>230</v>
      </c>
      <c r="C496" s="170"/>
      <c r="D496" s="170"/>
      <c r="E496" s="140">
        <f>'PAV (incl RV)'!E277</f>
        <v>0</v>
      </c>
      <c r="F496" s="140">
        <f>'PAV (incl RV)'!J277</f>
        <v>146306</v>
      </c>
      <c r="G496" s="140">
        <f>'PAV (incl RV)'!T277</f>
        <v>2834.9933333333333</v>
      </c>
      <c r="H496" s="140">
        <f>'PAV (incl RV)'!O277</f>
        <v>200840.48307220018</v>
      </c>
      <c r="I496" s="140">
        <f>'PAV (incl RV)'!Y277</f>
        <v>766153.7973478092</v>
      </c>
      <c r="J496" s="140">
        <f>'PAV (incl RV)'!AD277</f>
        <v>5615</v>
      </c>
      <c r="K496" s="140">
        <f>'PAV (incl RV)'!AI277</f>
        <v>105135.99291762552</v>
      </c>
      <c r="L496" s="140">
        <f>'PAV (incl RV)'!AN277</f>
        <v>2300</v>
      </c>
      <c r="M496" s="125">
        <f t="shared" si="37"/>
        <v>1229186.2666709682</v>
      </c>
      <c r="N496" s="55"/>
      <c r="O496" s="286"/>
      <c r="P496" s="284"/>
      <c r="Q496" s="284"/>
      <c r="R496" s="284"/>
      <c r="S496" s="284"/>
      <c r="T496" s="284"/>
      <c r="U496" s="284"/>
      <c r="V496" s="284"/>
      <c r="W496" s="284"/>
      <c r="X496" s="284"/>
    </row>
    <row r="497" spans="2:24" ht="12.75" outlineLevel="1">
      <c r="B497" s="170" t="s">
        <v>247</v>
      </c>
      <c r="C497" s="170"/>
      <c r="D497" s="170"/>
      <c r="E497" s="55"/>
      <c r="F497" s="55"/>
      <c r="G497" s="55"/>
      <c r="H497" s="55"/>
      <c r="I497" s="55"/>
      <c r="J497" s="55"/>
      <c r="K497" s="55"/>
      <c r="L497" s="55"/>
      <c r="M497" s="55"/>
      <c r="N497" s="55"/>
      <c r="O497" s="286"/>
      <c r="P497" s="284"/>
      <c r="Q497" s="284"/>
      <c r="R497" s="284"/>
      <c r="S497" s="284"/>
      <c r="T497" s="284"/>
      <c r="U497" s="284"/>
      <c r="V497" s="284"/>
      <c r="W497" s="284"/>
      <c r="X497" s="284"/>
    </row>
    <row r="498" spans="2:24" ht="12.75" outlineLevel="1">
      <c r="B498" s="171" t="s">
        <v>229</v>
      </c>
      <c r="C498" s="171"/>
      <c r="D498" s="170"/>
      <c r="E498" s="55"/>
      <c r="F498" s="55"/>
      <c r="G498" s="55"/>
      <c r="H498" s="55"/>
      <c r="I498" s="55"/>
      <c r="J498" s="55"/>
      <c r="K498" s="55"/>
      <c r="L498" s="55"/>
      <c r="M498" s="55"/>
      <c r="N498" s="55"/>
      <c r="O498" s="286"/>
      <c r="P498" s="284"/>
      <c r="Q498" s="284"/>
      <c r="R498" s="284"/>
      <c r="S498" s="284"/>
      <c r="T498" s="284"/>
      <c r="U498" s="284"/>
      <c r="V498" s="284"/>
      <c r="W498" s="284"/>
      <c r="X498" s="284"/>
    </row>
    <row r="499" spans="2:24" ht="12.75" outlineLevel="1">
      <c r="B499" s="171"/>
      <c r="C499" s="171"/>
      <c r="D499" s="170"/>
      <c r="E499" s="55"/>
      <c r="F499" s="55"/>
      <c r="G499" s="55"/>
      <c r="H499" s="55"/>
      <c r="I499" s="55"/>
      <c r="J499" s="55"/>
      <c r="K499" s="55"/>
      <c r="L499" s="55"/>
      <c r="M499" s="55"/>
      <c r="N499" s="55"/>
      <c r="O499" s="286"/>
      <c r="P499" s="284"/>
      <c r="Q499" s="284"/>
      <c r="R499" s="284"/>
      <c r="S499" s="284"/>
      <c r="T499" s="284"/>
      <c r="U499" s="284"/>
      <c r="V499" s="284"/>
      <c r="W499" s="284"/>
      <c r="X499" s="284"/>
    </row>
    <row r="500" spans="2:24" ht="12.75" outlineLevel="1">
      <c r="B500" s="172" t="s">
        <v>490</v>
      </c>
      <c r="C500" s="172"/>
      <c r="D500" s="170"/>
      <c r="E500" s="55"/>
      <c r="F500" s="49"/>
      <c r="G500" s="49"/>
      <c r="H500" s="49"/>
      <c r="I500" s="49"/>
      <c r="J500" s="49"/>
      <c r="K500" s="49"/>
      <c r="L500" s="49"/>
      <c r="M500" s="47"/>
      <c r="N500" s="47"/>
      <c r="O500" s="285"/>
      <c r="P500" s="281"/>
      <c r="Q500" s="281"/>
      <c r="R500" s="281"/>
      <c r="S500" s="281"/>
      <c r="T500" s="281"/>
      <c r="U500" s="281"/>
      <c r="V500" s="281"/>
      <c r="W500" s="281"/>
      <c r="X500" s="281"/>
    </row>
    <row r="501" spans="2:24" ht="12.75" outlineLevel="1">
      <c r="B501" s="169" t="s">
        <v>348</v>
      </c>
      <c r="C501" s="169"/>
      <c r="D501" s="170"/>
      <c r="E501" s="140">
        <f>'EAV (incl RV)'!E155</f>
        <v>541.606817585407</v>
      </c>
      <c r="F501" s="140">
        <f>'EAV (incl RV)'!J155</f>
        <v>1360</v>
      </c>
      <c r="G501" s="140">
        <f>'EAV (incl RV)'!T155</f>
        <v>22</v>
      </c>
      <c r="H501" s="140">
        <f>'EAV (incl RV)'!O155</f>
        <v>29519.46935483871</v>
      </c>
      <c r="I501" s="140">
        <f>'EAV (incl RV)'!Y155</f>
        <v>10610</v>
      </c>
      <c r="J501" s="140">
        <f>'EAV (incl RV)'!AD155</f>
        <v>309</v>
      </c>
      <c r="K501" s="140">
        <f>'EAV (incl RV)'!AI155</f>
        <v>16870.134756444942</v>
      </c>
      <c r="L501" s="140">
        <f>'EAV (incl RV)'!AN155</f>
        <v>456</v>
      </c>
      <c r="M501" s="125">
        <f>SUM(E501:L501)</f>
        <v>59688.210928869055</v>
      </c>
      <c r="N501" s="47"/>
      <c r="O501" s="285"/>
      <c r="P501" s="281"/>
      <c r="Q501" s="281"/>
      <c r="R501" s="281"/>
      <c r="S501" s="281"/>
      <c r="T501" s="281"/>
      <c r="U501" s="281"/>
      <c r="V501" s="281"/>
      <c r="W501" s="281"/>
      <c r="X501" s="281"/>
    </row>
    <row r="502" spans="2:24" ht="12.75" outlineLevel="1">
      <c r="B502" s="169" t="s">
        <v>349</v>
      </c>
      <c r="C502" s="169"/>
      <c r="D502" s="170"/>
      <c r="E502" s="140">
        <f>'EAV (incl RV)'!E156</f>
        <v>658.0002804638002</v>
      </c>
      <c r="F502" s="140">
        <f>'EAV (incl RV)'!J156</f>
        <v>1868</v>
      </c>
      <c r="G502" s="140">
        <f>'EAV (incl RV)'!T156</f>
        <v>1781</v>
      </c>
      <c r="H502" s="140">
        <f>'EAV (incl RV)'!O156</f>
        <v>30436.47981512605</v>
      </c>
      <c r="I502" s="140">
        <f>'EAV (incl RV)'!Y156</f>
        <v>36285</v>
      </c>
      <c r="J502" s="140">
        <f>'EAV (incl RV)'!AD156</f>
        <v>315</v>
      </c>
      <c r="K502" s="140">
        <f>'EAV (incl RV)'!AI156</f>
        <v>33085.45556173802</v>
      </c>
      <c r="L502" s="140">
        <f>'EAV (incl RV)'!AN156</f>
        <v>972</v>
      </c>
      <c r="M502" s="125">
        <f>SUM(E502:L502)</f>
        <v>105400.93565732788</v>
      </c>
      <c r="N502" s="47"/>
      <c r="O502" s="285"/>
      <c r="P502" s="281"/>
      <c r="Q502" s="281"/>
      <c r="R502" s="281"/>
      <c r="S502" s="281"/>
      <c r="T502" s="281"/>
      <c r="U502" s="281"/>
      <c r="V502" s="281"/>
      <c r="W502" s="281"/>
      <c r="X502" s="281"/>
    </row>
    <row r="503" spans="2:24" ht="12.75" outlineLevel="1">
      <c r="B503" s="169" t="s">
        <v>350</v>
      </c>
      <c r="C503" s="169"/>
      <c r="D503" s="170"/>
      <c r="E503" s="140">
        <f>'EAV (incl RV)'!E157</f>
        <v>48.679241016142406</v>
      </c>
      <c r="F503" s="140">
        <f>'EAV (incl RV)'!J157</f>
        <v>204</v>
      </c>
      <c r="G503" s="140">
        <f>'EAV (incl RV)'!T157</f>
        <v>217</v>
      </c>
      <c r="H503" s="140">
        <f>'EAV (incl RV)'!O157</f>
        <v>1845.7349041259718</v>
      </c>
      <c r="I503" s="140">
        <f>'EAV (incl RV)'!Y157</f>
        <v>3507</v>
      </c>
      <c r="J503" s="140">
        <f>'EAV (incl RV)'!AD157</f>
        <v>51</v>
      </c>
      <c r="K503" s="140">
        <f>'EAV (incl RV)'!AI157</f>
        <v>2907.7453779143248</v>
      </c>
      <c r="L503" s="140">
        <f>'EAV (incl RV)'!AN157</f>
        <v>113</v>
      </c>
      <c r="M503" s="125">
        <f>SUM(E503:L503)</f>
        <v>8894.15952305644</v>
      </c>
      <c r="N503" s="47"/>
      <c r="O503" s="285"/>
      <c r="P503" s="281"/>
      <c r="Q503" s="281"/>
      <c r="R503" s="281"/>
      <c r="S503" s="281"/>
      <c r="T503" s="281"/>
      <c r="U503" s="281"/>
      <c r="V503" s="281"/>
      <c r="W503" s="281"/>
      <c r="X503" s="281"/>
    </row>
    <row r="504" spans="2:24" ht="12.75" outlineLevel="1">
      <c r="B504" s="169" t="s">
        <v>341</v>
      </c>
      <c r="C504" s="169"/>
      <c r="D504" s="170"/>
      <c r="E504" s="140">
        <f>'EAV (incl RV)'!E158</f>
        <v>16.998934134863916</v>
      </c>
      <c r="F504" s="140">
        <f>'EAV (incl RV)'!J158</f>
        <v>49</v>
      </c>
      <c r="G504" s="140">
        <f>'EAV (incl RV)'!T158</f>
        <v>55</v>
      </c>
      <c r="H504" s="140">
        <f>'EAV (incl RV)'!O158</f>
        <v>1273.018684988483</v>
      </c>
      <c r="I504" s="140">
        <f>'EAV (incl RV)'!Y158</f>
        <v>628</v>
      </c>
      <c r="J504" s="140">
        <f>'EAV (incl RV)'!AD158</f>
        <v>9</v>
      </c>
      <c r="K504" s="140">
        <f>'EAV (incl RV)'!AI158</f>
        <v>902.3335452064787</v>
      </c>
      <c r="L504" s="140">
        <f>'EAV (incl RV)'!AN158</f>
        <v>44</v>
      </c>
      <c r="M504" s="125">
        <f>SUM(E504:L504)</f>
        <v>2977.3511643298257</v>
      </c>
      <c r="N504" s="47"/>
      <c r="O504" s="285"/>
      <c r="P504" s="281"/>
      <c r="Q504" s="281"/>
      <c r="R504" s="281"/>
      <c r="S504" s="281"/>
      <c r="T504" s="281"/>
      <c r="U504" s="281"/>
      <c r="V504" s="281"/>
      <c r="W504" s="281"/>
      <c r="X504" s="281"/>
    </row>
    <row r="505" spans="2:24" ht="12.75" outlineLevel="1">
      <c r="B505" s="169" t="s">
        <v>216</v>
      </c>
      <c r="C505" s="169"/>
      <c r="D505" s="170"/>
      <c r="E505" s="140">
        <f>'EAV (incl RV)'!E159</f>
        <v>0</v>
      </c>
      <c r="F505" s="140">
        <f>'EAV (incl RV)'!J159</f>
        <v>11</v>
      </c>
      <c r="G505" s="140">
        <f>'EAV (incl RV)'!T159</f>
        <v>1</v>
      </c>
      <c r="H505" s="140">
        <f>'EAV (incl RV)'!O159</f>
        <v>217.89759846545434</v>
      </c>
      <c r="I505" s="140">
        <f>'EAV (incl RV)'!Y159</f>
        <v>85</v>
      </c>
      <c r="J505" s="140">
        <f>'EAV (incl RV)'!AD159</f>
        <v>0</v>
      </c>
      <c r="K505" s="140">
        <f>'EAV (incl RV)'!AI159</f>
        <v>120.16439889987183</v>
      </c>
      <c r="L505" s="140">
        <f>'EAV (incl RV)'!AN159</f>
        <v>27</v>
      </c>
      <c r="M505" s="125">
        <f>SUM(E505:L505)</f>
        <v>462.0619973653262</v>
      </c>
      <c r="N505" s="47"/>
      <c r="O505" s="285"/>
      <c r="P505" s="281"/>
      <c r="Q505" s="281"/>
      <c r="R505" s="281"/>
      <c r="S505" s="281"/>
      <c r="T505" s="281"/>
      <c r="U505" s="281"/>
      <c r="V505" s="281"/>
      <c r="W505" s="281"/>
      <c r="X505" s="281"/>
    </row>
    <row r="506" spans="4:24" s="44" customFormat="1" ht="12.75" outlineLevel="1">
      <c r="D506" s="170"/>
      <c r="E506" s="49"/>
      <c r="F506" s="49"/>
      <c r="G506" s="49"/>
      <c r="H506" s="47"/>
      <c r="I506" s="49"/>
      <c r="J506" s="49"/>
      <c r="K506" s="49"/>
      <c r="L506" s="47"/>
      <c r="M506" s="47"/>
      <c r="N506" s="47"/>
      <c r="O506" s="285"/>
      <c r="P506" s="281"/>
      <c r="Q506" s="281"/>
      <c r="R506" s="281"/>
      <c r="S506" s="281"/>
      <c r="T506" s="281"/>
      <c r="U506" s="281"/>
      <c r="V506" s="281"/>
      <c r="W506" s="281"/>
      <c r="X506" s="281"/>
    </row>
    <row r="507" spans="2:24" s="44" customFormat="1" ht="12.75" outlineLevel="1">
      <c r="B507" s="172" t="s">
        <v>491</v>
      </c>
      <c r="C507" s="172"/>
      <c r="D507" s="170"/>
      <c r="E507" s="55"/>
      <c r="F507" s="55"/>
      <c r="G507" s="49"/>
      <c r="H507" s="47"/>
      <c r="I507" s="55"/>
      <c r="J507" s="49"/>
      <c r="K507" s="49"/>
      <c r="L507" s="47"/>
      <c r="M507" s="47"/>
      <c r="N507" s="47"/>
      <c r="O507" s="285"/>
      <c r="P507" s="281"/>
      <c r="Q507" s="281"/>
      <c r="R507" s="281"/>
      <c r="S507" s="281"/>
      <c r="T507" s="281"/>
      <c r="U507" s="281"/>
      <c r="V507" s="281"/>
      <c r="W507" s="281"/>
      <c r="X507" s="281"/>
    </row>
    <row r="508" spans="2:24" ht="12.75" outlineLevel="1">
      <c r="B508" s="169" t="s">
        <v>348</v>
      </c>
      <c r="C508" s="169"/>
      <c r="D508" s="170"/>
      <c r="E508" s="140">
        <f>'EAV (incl RV)'!E189</f>
        <v>704.6697121973505</v>
      </c>
      <c r="F508" s="140">
        <f>'EAV (incl RV)'!J189</f>
        <v>680</v>
      </c>
      <c r="G508" s="140">
        <f>'EAV (incl RV)'!T189</f>
        <v>0</v>
      </c>
      <c r="H508" s="140">
        <f>'EAV (incl RV)'!O189</f>
        <v>44844.573333333334</v>
      </c>
      <c r="I508" s="140">
        <f>'EAV (incl RV)'!Y189</f>
        <v>17007</v>
      </c>
      <c r="J508" s="140">
        <f>'EAV (incl RV)'!AD189</f>
        <v>261</v>
      </c>
      <c r="K508" s="140">
        <f>'EAV (incl RV)'!AI189</f>
        <v>9172.688645745211</v>
      </c>
      <c r="L508" s="140">
        <f>'EAV (incl RV)'!AN189</f>
        <v>992</v>
      </c>
      <c r="M508" s="125">
        <f>SUM(E508:L508)</f>
        <v>73661.9316912759</v>
      </c>
      <c r="N508" s="47"/>
      <c r="O508" s="285"/>
      <c r="P508" s="281"/>
      <c r="Q508" s="281"/>
      <c r="R508" s="281"/>
      <c r="S508" s="281"/>
      <c r="T508" s="281"/>
      <c r="U508" s="281"/>
      <c r="V508" s="281"/>
      <c r="W508" s="281"/>
      <c r="X508" s="281"/>
    </row>
    <row r="509" spans="2:24" ht="12.75" outlineLevel="1">
      <c r="B509" s="169" t="s">
        <v>349</v>
      </c>
      <c r="C509" s="169"/>
      <c r="D509" s="170"/>
      <c r="E509" s="140">
        <f>'EAV (incl RV)'!E190</f>
        <v>256.8350019581515</v>
      </c>
      <c r="F509" s="140">
        <f>'EAV (incl RV)'!J190</f>
        <v>7147</v>
      </c>
      <c r="G509" s="140">
        <f>'EAV (incl RV)'!T190</f>
        <v>600</v>
      </c>
      <c r="H509" s="140">
        <f>'EAV (incl RV)'!O190</f>
        <v>90185.23529411765</v>
      </c>
      <c r="I509" s="140">
        <f>'EAV (incl RV)'!Y190</f>
        <v>34778</v>
      </c>
      <c r="J509" s="140">
        <f>'EAV (incl RV)'!AD190</f>
        <v>583</v>
      </c>
      <c r="K509" s="140">
        <f>'EAV (incl RV)'!AI190</f>
        <v>32266.73986069841</v>
      </c>
      <c r="L509" s="140">
        <f>'EAV (incl RV)'!AN190</f>
        <v>356</v>
      </c>
      <c r="M509" s="125">
        <f>SUM(E509:L509)</f>
        <v>166172.8101567742</v>
      </c>
      <c r="N509" s="47"/>
      <c r="O509" s="285"/>
      <c r="P509" s="281"/>
      <c r="Q509" s="281"/>
      <c r="R509" s="281"/>
      <c r="S509" s="281"/>
      <c r="T509" s="281"/>
      <c r="U509" s="281"/>
      <c r="V509" s="281"/>
      <c r="W509" s="281"/>
      <c r="X509" s="281"/>
    </row>
    <row r="510" spans="2:24" ht="12.75" outlineLevel="1">
      <c r="B510" s="169" t="s">
        <v>350</v>
      </c>
      <c r="C510" s="169"/>
      <c r="D510" s="170"/>
      <c r="E510" s="140">
        <f>'EAV (incl RV)'!E191</f>
        <v>1218.6744561070743</v>
      </c>
      <c r="F510" s="140">
        <f>'EAV (incl RV)'!J191</f>
        <v>3465</v>
      </c>
      <c r="G510" s="140">
        <f>'EAV (incl RV)'!T191</f>
        <v>1666.5796637309847</v>
      </c>
      <c r="H510" s="140">
        <f>'EAV (incl RV)'!O191</f>
        <v>39048.40909090909</v>
      </c>
      <c r="I510" s="140">
        <f>'EAV (incl RV)'!Y191</f>
        <v>37476</v>
      </c>
      <c r="J510" s="140">
        <f>'EAV (incl RV)'!AD191</f>
        <v>81</v>
      </c>
      <c r="K510" s="140">
        <f>'EAV (incl RV)'!AI191</f>
        <v>24431.53039255466</v>
      </c>
      <c r="L510" s="140">
        <f>'EAV (incl RV)'!AN191</f>
        <v>3044.5</v>
      </c>
      <c r="M510" s="125">
        <f>SUM(E510:L510)</f>
        <v>110431.69360330181</v>
      </c>
      <c r="N510" s="47"/>
      <c r="O510" s="285"/>
      <c r="P510" s="281"/>
      <c r="Q510" s="281"/>
      <c r="R510" s="281"/>
      <c r="S510" s="281"/>
      <c r="T510" s="281"/>
      <c r="U510" s="281"/>
      <c r="V510" s="281"/>
      <c r="W510" s="281"/>
      <c r="X510" s="281"/>
    </row>
    <row r="511" spans="2:24" ht="12.75" outlineLevel="1">
      <c r="B511" s="169" t="s">
        <v>341</v>
      </c>
      <c r="C511" s="169"/>
      <c r="D511" s="170"/>
      <c r="E511" s="140">
        <f>'EAV (incl RV)'!E192</f>
        <v>3371.4763527398404</v>
      </c>
      <c r="F511" s="140">
        <f>'EAV (incl RV)'!J192</f>
        <v>7613</v>
      </c>
      <c r="G511" s="140">
        <f>'EAV (incl RV)'!T192</f>
        <v>5171</v>
      </c>
      <c r="H511" s="140">
        <f>'EAV (incl RV)'!O192</f>
        <v>165211.04761904763</v>
      </c>
      <c r="I511" s="140">
        <f>'EAV (incl RV)'!Y192</f>
        <v>85730</v>
      </c>
      <c r="J511" s="140">
        <f>'EAV (incl RV)'!AD192</f>
        <v>1386</v>
      </c>
      <c r="K511" s="140">
        <f>'EAV (incl RV)'!AI192</f>
        <v>82910.0869943933</v>
      </c>
      <c r="L511" s="140">
        <f>'EAV (incl RV)'!AN192</f>
        <v>3346</v>
      </c>
      <c r="M511" s="125">
        <f>SUM(E511:L511)</f>
        <v>354738.6109661808</v>
      </c>
      <c r="N511" s="47"/>
      <c r="O511" s="285"/>
      <c r="P511" s="281"/>
      <c r="Q511" s="281"/>
      <c r="R511" s="281"/>
      <c r="S511" s="281"/>
      <c r="T511" s="281"/>
      <c r="U511" s="281"/>
      <c r="V511" s="281"/>
      <c r="W511" s="281"/>
      <c r="X511" s="281"/>
    </row>
    <row r="512" spans="2:24" ht="12.75" outlineLevel="1">
      <c r="B512" s="169" t="s">
        <v>216</v>
      </c>
      <c r="C512" s="169"/>
      <c r="D512" s="170"/>
      <c r="E512" s="140">
        <f>'EAV (incl RV)'!E193</f>
        <v>0</v>
      </c>
      <c r="F512" s="140">
        <f>'EAV (incl RV)'!J193</f>
        <v>16655</v>
      </c>
      <c r="G512" s="140">
        <f>'EAV (incl RV)'!T193</f>
        <v>0</v>
      </c>
      <c r="H512" s="140">
        <f>'EAV (incl RV)'!O193</f>
        <v>41527.82916954221</v>
      </c>
      <c r="I512" s="140">
        <f>'EAV (incl RV)'!Y193</f>
        <v>24073.666666666668</v>
      </c>
      <c r="J512" s="140">
        <f>'EAV (incl RV)'!AD193</f>
        <v>0</v>
      </c>
      <c r="K512" s="140">
        <f>'EAV (incl RV)'!AI193</f>
        <v>18357.18003360507</v>
      </c>
      <c r="L512" s="140">
        <f>'EAV (incl RV)'!AN193</f>
        <v>948.277411344766</v>
      </c>
      <c r="M512" s="125">
        <f>SUM(E512:L512)</f>
        <v>101561.95328115871</v>
      </c>
      <c r="N512" s="47"/>
      <c r="O512" s="285"/>
      <c r="P512" s="281"/>
      <c r="Q512" s="281"/>
      <c r="R512" s="281"/>
      <c r="S512" s="281"/>
      <c r="T512" s="281"/>
      <c r="U512" s="281"/>
      <c r="V512" s="281"/>
      <c r="W512" s="281"/>
      <c r="X512" s="281"/>
    </row>
    <row r="513" spans="2:24" s="44" customFormat="1" ht="12.75" outlineLevel="1">
      <c r="B513" s="170"/>
      <c r="C513" s="170"/>
      <c r="D513" s="170"/>
      <c r="E513" s="49"/>
      <c r="F513" s="55"/>
      <c r="G513" s="49"/>
      <c r="H513" s="47"/>
      <c r="I513" s="49"/>
      <c r="J513" s="49"/>
      <c r="K513" s="49"/>
      <c r="L513" s="47"/>
      <c r="M513" s="47"/>
      <c r="N513" s="47"/>
      <c r="O513" s="285"/>
      <c r="P513" s="281"/>
      <c r="Q513" s="281"/>
      <c r="R513" s="281"/>
      <c r="S513" s="281"/>
      <c r="T513" s="281"/>
      <c r="U513" s="281"/>
      <c r="V513" s="281"/>
      <c r="W513" s="281"/>
      <c r="X513" s="281"/>
    </row>
    <row r="514" spans="2:24" ht="12.75" outlineLevel="1">
      <c r="B514" s="171" t="s">
        <v>508</v>
      </c>
      <c r="C514" s="171"/>
      <c r="D514" s="171"/>
      <c r="E514" s="66"/>
      <c r="F514" s="66"/>
      <c r="G514" s="66"/>
      <c r="H514" s="66"/>
      <c r="I514" s="66"/>
      <c r="J514" s="66"/>
      <c r="K514" s="66"/>
      <c r="L514" s="66"/>
      <c r="M514" s="66"/>
      <c r="N514" s="66"/>
      <c r="P514" s="66"/>
      <c r="Q514" s="66"/>
      <c r="R514" s="66"/>
      <c r="S514" s="66"/>
      <c r="T514" s="66"/>
      <c r="U514" s="66"/>
      <c r="V514" s="66"/>
      <c r="W514" s="66"/>
      <c r="X514" s="66"/>
    </row>
    <row r="515" spans="2:24" ht="12.75" outlineLevel="1">
      <c r="B515" s="170" t="s">
        <v>247</v>
      </c>
      <c r="C515" s="170"/>
      <c r="D515" s="170"/>
      <c r="E515" s="66"/>
      <c r="F515" s="66"/>
      <c r="G515" s="66"/>
      <c r="H515" s="66"/>
      <c r="I515" s="66"/>
      <c r="J515" s="66"/>
      <c r="K515" s="66"/>
      <c r="L515" s="66"/>
      <c r="M515" s="66"/>
      <c r="N515" s="66"/>
      <c r="P515" s="66"/>
      <c r="Q515" s="66"/>
      <c r="R515" s="66"/>
      <c r="S515" s="66"/>
      <c r="T515" s="66"/>
      <c r="U515" s="66"/>
      <c r="V515" s="66"/>
      <c r="W515" s="66"/>
      <c r="X515" s="66"/>
    </row>
    <row r="516" spans="2:24" ht="12.75" outlineLevel="1">
      <c r="B516" s="170" t="s">
        <v>206</v>
      </c>
      <c r="C516" s="170"/>
      <c r="D516" s="170"/>
      <c r="E516" s="45">
        <v>0</v>
      </c>
      <c r="F516" s="45">
        <v>42560</v>
      </c>
      <c r="G516" s="45">
        <v>0</v>
      </c>
      <c r="H516" s="45">
        <v>63540</v>
      </c>
      <c r="I516" s="45">
        <v>543754</v>
      </c>
      <c r="J516" s="45">
        <v>0</v>
      </c>
      <c r="K516" s="45">
        <v>452632</v>
      </c>
      <c r="L516" s="45">
        <v>0</v>
      </c>
      <c r="M516" s="125">
        <f>SUM(E516:L516)</f>
        <v>1102486</v>
      </c>
      <c r="N516" s="66"/>
      <c r="P516" s="66"/>
      <c r="Q516" s="66"/>
      <c r="R516" s="66"/>
      <c r="S516" s="66"/>
      <c r="T516" s="66"/>
      <c r="U516" s="66"/>
      <c r="V516" s="66"/>
      <c r="W516" s="66"/>
      <c r="X516" s="66"/>
    </row>
    <row r="517" spans="2:24" ht="12.75" outlineLevel="1">
      <c r="B517" s="170" t="s">
        <v>208</v>
      </c>
      <c r="C517" s="170"/>
      <c r="D517" s="170"/>
      <c r="E517" s="45">
        <v>0</v>
      </c>
      <c r="F517" s="45">
        <v>162700</v>
      </c>
      <c r="G517" s="45">
        <v>0</v>
      </c>
      <c r="H517" s="45">
        <v>239700</v>
      </c>
      <c r="I517" s="45">
        <v>749969</v>
      </c>
      <c r="J517" s="45">
        <v>0</v>
      </c>
      <c r="K517" s="45">
        <v>134264</v>
      </c>
      <c r="L517" s="45">
        <v>0</v>
      </c>
      <c r="M517" s="125">
        <f>SUM(E517:L517)</f>
        <v>1286633</v>
      </c>
      <c r="N517" s="66"/>
      <c r="P517" s="66"/>
      <c r="Q517" s="66"/>
      <c r="R517" s="66"/>
      <c r="S517" s="66"/>
      <c r="T517" s="66"/>
      <c r="U517" s="66"/>
      <c r="V517" s="66"/>
      <c r="W517" s="66"/>
      <c r="X517" s="66"/>
    </row>
    <row r="518" spans="2:24" ht="12.75" outlineLevel="1">
      <c r="B518" s="170" t="s">
        <v>210</v>
      </c>
      <c r="C518" s="170"/>
      <c r="D518" s="170"/>
      <c r="E518" s="45">
        <v>0</v>
      </c>
      <c r="F518" s="45">
        <v>0</v>
      </c>
      <c r="G518" s="45">
        <v>0</v>
      </c>
      <c r="H518" s="45">
        <v>222073</v>
      </c>
      <c r="I518" s="45">
        <v>0</v>
      </c>
      <c r="J518" s="45">
        <v>0</v>
      </c>
      <c r="K518" s="45">
        <v>0</v>
      </c>
      <c r="L518" s="45">
        <v>0</v>
      </c>
      <c r="M518" s="125">
        <f>SUM(E518:L518)</f>
        <v>222073</v>
      </c>
      <c r="N518" s="66"/>
      <c r="P518" s="66"/>
      <c r="Q518" s="66"/>
      <c r="R518" s="66"/>
      <c r="S518" s="66"/>
      <c r="T518" s="66"/>
      <c r="U518" s="66"/>
      <c r="V518" s="66"/>
      <c r="W518" s="66"/>
      <c r="X518" s="66"/>
    </row>
    <row r="519" spans="2:24" ht="12.75" outlineLevel="1">
      <c r="B519" s="170" t="s">
        <v>212</v>
      </c>
      <c r="C519" s="170"/>
      <c r="D519" s="170"/>
      <c r="E519" s="45">
        <v>0</v>
      </c>
      <c r="F519" s="45">
        <v>30200</v>
      </c>
      <c r="G519" s="45">
        <v>3088</v>
      </c>
      <c r="H519" s="45">
        <v>718243</v>
      </c>
      <c r="I519" s="45">
        <v>809399.5259999993</v>
      </c>
      <c r="J519" s="45">
        <v>139.336</v>
      </c>
      <c r="K519" s="45">
        <v>528756</v>
      </c>
      <c r="L519" s="45">
        <v>537996</v>
      </c>
      <c r="M519" s="125">
        <f>SUM(E519:L519)</f>
        <v>2627821.861999999</v>
      </c>
      <c r="N519" s="66"/>
      <c r="P519" s="66"/>
      <c r="Q519" s="66"/>
      <c r="R519" s="66"/>
      <c r="S519" s="66"/>
      <c r="T519" s="66"/>
      <c r="U519" s="66"/>
      <c r="V519" s="66"/>
      <c r="W519" s="66"/>
      <c r="X519" s="66"/>
    </row>
    <row r="520" spans="2:24" ht="12.75" outlineLevel="1">
      <c r="B520" s="170" t="s">
        <v>213</v>
      </c>
      <c r="C520" s="170"/>
      <c r="D520" s="170"/>
      <c r="E520" s="45">
        <v>106</v>
      </c>
      <c r="F520" s="45">
        <v>18280</v>
      </c>
      <c r="G520" s="45">
        <v>4352</v>
      </c>
      <c r="H520" s="45">
        <v>10694</v>
      </c>
      <c r="I520" s="45">
        <v>10812</v>
      </c>
      <c r="J520" s="45">
        <v>68.072</v>
      </c>
      <c r="K520" s="45">
        <v>21940</v>
      </c>
      <c r="L520" s="45">
        <v>34620</v>
      </c>
      <c r="M520" s="125">
        <f>SUM(E520:L520)</f>
        <v>100872.072</v>
      </c>
      <c r="N520" s="66"/>
      <c r="P520" s="66"/>
      <c r="Q520" s="66"/>
      <c r="R520" s="66"/>
      <c r="S520" s="66"/>
      <c r="T520" s="66"/>
      <c r="U520" s="66"/>
      <c r="V520" s="66"/>
      <c r="W520" s="66"/>
      <c r="X520" s="66"/>
    </row>
    <row r="521" spans="2:24" ht="12.75" outlineLevel="1">
      <c r="B521" s="170" t="s">
        <v>247</v>
      </c>
      <c r="C521" s="170"/>
      <c r="D521" s="170"/>
      <c r="E521" s="66"/>
      <c r="F521" s="66"/>
      <c r="G521" s="66"/>
      <c r="H521" s="66"/>
      <c r="I521" s="66"/>
      <c r="J521" s="66"/>
      <c r="K521" s="66"/>
      <c r="L521" s="66"/>
      <c r="M521" s="66"/>
      <c r="N521" s="66"/>
      <c r="P521" s="66"/>
      <c r="Q521" s="66"/>
      <c r="R521" s="66"/>
      <c r="S521" s="66"/>
      <c r="T521" s="66"/>
      <c r="U521" s="66"/>
      <c r="V521" s="66"/>
      <c r="W521" s="66"/>
      <c r="X521" s="66"/>
    </row>
    <row r="522" spans="2:24" ht="12.75">
      <c r="B522" s="170"/>
      <c r="C522" s="170"/>
      <c r="D522" s="170"/>
      <c r="E522" s="66"/>
      <c r="F522" s="66"/>
      <c r="G522" s="66"/>
      <c r="H522" s="66"/>
      <c r="I522" s="66"/>
      <c r="J522" s="66"/>
      <c r="K522" s="66"/>
      <c r="L522" s="66"/>
      <c r="M522" s="66"/>
      <c r="N522" s="66"/>
      <c r="P522" s="66"/>
      <c r="Q522" s="66"/>
      <c r="R522" s="66"/>
      <c r="S522" s="66"/>
      <c r="T522" s="66"/>
      <c r="U522" s="66"/>
      <c r="V522" s="66"/>
      <c r="W522" s="66"/>
      <c r="X522" s="66"/>
    </row>
    <row r="523" spans="2:24" ht="12.75">
      <c r="B523" s="170"/>
      <c r="C523" s="170"/>
      <c r="D523" s="170"/>
      <c r="E523" s="66"/>
      <c r="F523" s="66"/>
      <c r="G523" s="66"/>
      <c r="H523" s="66"/>
      <c r="I523" s="66"/>
      <c r="J523" s="66"/>
      <c r="K523" s="66"/>
      <c r="L523" s="66"/>
      <c r="M523" s="66"/>
      <c r="N523" s="66"/>
      <c r="P523" s="66"/>
      <c r="Q523" s="66"/>
      <c r="R523" s="66"/>
      <c r="S523" s="66"/>
      <c r="T523" s="66"/>
      <c r="U523" s="66"/>
      <c r="V523" s="66"/>
      <c r="W523" s="66"/>
      <c r="X523" s="66"/>
    </row>
    <row r="524" spans="2:24" ht="12.75">
      <c r="B524" s="170"/>
      <c r="C524" s="170"/>
      <c r="D524" s="170"/>
      <c r="E524" s="66"/>
      <c r="F524" s="66"/>
      <c r="G524" s="66"/>
      <c r="H524" s="66"/>
      <c r="I524" s="66"/>
      <c r="J524" s="66"/>
      <c r="K524" s="66"/>
      <c r="L524" s="66"/>
      <c r="M524" s="66"/>
      <c r="N524" s="66"/>
      <c r="P524" s="66"/>
      <c r="Q524" s="66"/>
      <c r="R524" s="66"/>
      <c r="S524" s="66"/>
      <c r="T524" s="66"/>
      <c r="U524" s="66"/>
      <c r="V524" s="66"/>
      <c r="W524" s="66"/>
      <c r="X524" s="66"/>
    </row>
    <row r="525" spans="2:24" ht="12.75">
      <c r="B525" s="170"/>
      <c r="C525" s="170"/>
      <c r="D525" s="170"/>
      <c r="E525" s="66"/>
      <c r="F525" s="66"/>
      <c r="G525" s="66"/>
      <c r="H525" s="66"/>
      <c r="I525" s="66"/>
      <c r="J525" s="66"/>
      <c r="K525" s="66"/>
      <c r="L525" s="66"/>
      <c r="M525" s="66"/>
      <c r="N525" s="66"/>
      <c r="P525" s="66"/>
      <c r="Q525" s="66"/>
      <c r="R525" s="66"/>
      <c r="S525" s="66"/>
      <c r="T525" s="66"/>
      <c r="U525" s="66"/>
      <c r="V525" s="66"/>
      <c r="W525" s="66"/>
      <c r="X525" s="66"/>
    </row>
    <row r="526" spans="2:24" ht="12.75">
      <c r="B526" s="170"/>
      <c r="C526" s="170"/>
      <c r="D526" s="170"/>
      <c r="E526" s="66"/>
      <c r="F526" s="66"/>
      <c r="G526" s="66"/>
      <c r="H526" s="66"/>
      <c r="I526" s="66"/>
      <c r="J526" s="66"/>
      <c r="K526" s="66"/>
      <c r="L526" s="66"/>
      <c r="M526" s="66"/>
      <c r="N526" s="66"/>
      <c r="P526" s="66"/>
      <c r="Q526" s="66"/>
      <c r="R526" s="66"/>
      <c r="S526" s="66"/>
      <c r="T526" s="66"/>
      <c r="U526" s="66"/>
      <c r="V526" s="66"/>
      <c r="W526" s="66"/>
      <c r="X526" s="66"/>
    </row>
    <row r="527" spans="2:24" ht="12.75">
      <c r="B527" s="170"/>
      <c r="C527" s="170"/>
      <c r="D527" s="170"/>
      <c r="E527" s="66"/>
      <c r="F527" s="66"/>
      <c r="G527" s="66"/>
      <c r="H527" s="66"/>
      <c r="I527" s="66"/>
      <c r="J527" s="66"/>
      <c r="K527" s="66"/>
      <c r="L527" s="66"/>
      <c r="M527" s="66"/>
      <c r="N527" s="66"/>
      <c r="P527" s="66"/>
      <c r="Q527" s="66"/>
      <c r="R527" s="66"/>
      <c r="S527" s="66"/>
      <c r="T527" s="66"/>
      <c r="U527" s="66"/>
      <c r="V527" s="66"/>
      <c r="W527" s="66"/>
      <c r="X527" s="66"/>
    </row>
    <row r="528" spans="2:24" ht="12.75">
      <c r="B528" s="170"/>
      <c r="C528" s="170"/>
      <c r="D528" s="170"/>
      <c r="E528" s="66"/>
      <c r="F528" s="66"/>
      <c r="G528" s="66"/>
      <c r="H528" s="66"/>
      <c r="I528" s="66"/>
      <c r="J528" s="66"/>
      <c r="K528" s="66"/>
      <c r="L528" s="66"/>
      <c r="M528" s="66"/>
      <c r="N528" s="66"/>
      <c r="P528" s="66"/>
      <c r="Q528" s="66"/>
      <c r="R528" s="66"/>
      <c r="S528" s="66"/>
      <c r="T528" s="66"/>
      <c r="U528" s="66"/>
      <c r="V528" s="66"/>
      <c r="W528" s="66"/>
      <c r="X528" s="66"/>
    </row>
    <row r="529" spans="2:24" ht="12.75">
      <c r="B529" s="170"/>
      <c r="C529" s="170"/>
      <c r="D529" s="170"/>
      <c r="E529" s="66"/>
      <c r="F529" s="66"/>
      <c r="G529" s="66"/>
      <c r="H529" s="66"/>
      <c r="I529" s="66"/>
      <c r="J529" s="66"/>
      <c r="K529" s="66"/>
      <c r="L529" s="66"/>
      <c r="M529" s="66"/>
      <c r="N529" s="66"/>
      <c r="P529" s="66"/>
      <c r="Q529" s="66"/>
      <c r="R529" s="66"/>
      <c r="S529" s="66"/>
      <c r="T529" s="66"/>
      <c r="U529" s="66"/>
      <c r="V529" s="66"/>
      <c r="W529" s="66"/>
      <c r="X529" s="66"/>
    </row>
    <row r="530" spans="5:24" ht="12.75">
      <c r="E530" s="66"/>
      <c r="F530" s="66"/>
      <c r="G530" s="66"/>
      <c r="H530" s="66"/>
      <c r="I530" s="66"/>
      <c r="J530" s="66"/>
      <c r="K530" s="66"/>
      <c r="L530" s="66"/>
      <c r="M530" s="66"/>
      <c r="N530" s="66"/>
      <c r="P530" s="66"/>
      <c r="Q530" s="66"/>
      <c r="R530" s="66"/>
      <c r="S530" s="66"/>
      <c r="T530" s="66"/>
      <c r="U530" s="66"/>
      <c r="V530" s="66"/>
      <c r="W530" s="66"/>
      <c r="X530" s="66"/>
    </row>
    <row r="531" spans="5:24" ht="12.75">
      <c r="E531" s="66"/>
      <c r="F531" s="66"/>
      <c r="G531" s="66"/>
      <c r="H531" s="66"/>
      <c r="I531" s="66"/>
      <c r="J531" s="66"/>
      <c r="K531" s="66"/>
      <c r="L531" s="66"/>
      <c r="M531" s="66"/>
      <c r="N531" s="66"/>
      <c r="P531" s="66"/>
      <c r="Q531" s="66"/>
      <c r="R531" s="66"/>
      <c r="S531" s="66"/>
      <c r="T531" s="66"/>
      <c r="U531" s="66"/>
      <c r="V531" s="66"/>
      <c r="W531" s="66"/>
      <c r="X531" s="66"/>
    </row>
    <row r="532" spans="5:24" ht="12.75">
      <c r="E532" s="66"/>
      <c r="F532" s="66"/>
      <c r="G532" s="66"/>
      <c r="H532" s="66"/>
      <c r="I532" s="66"/>
      <c r="J532" s="66"/>
      <c r="K532" s="66"/>
      <c r="L532" s="66"/>
      <c r="M532" s="66"/>
      <c r="N532" s="66"/>
      <c r="P532" s="66"/>
      <c r="Q532" s="66"/>
      <c r="R532" s="66"/>
      <c r="S532" s="66"/>
      <c r="T532" s="66"/>
      <c r="U532" s="66"/>
      <c r="V532" s="66"/>
      <c r="W532" s="66"/>
      <c r="X532" s="66"/>
    </row>
    <row r="533" spans="5:24" ht="12.75">
      <c r="E533" s="66"/>
      <c r="F533" s="66"/>
      <c r="G533" s="66"/>
      <c r="H533" s="66"/>
      <c r="I533" s="66"/>
      <c r="J533" s="66"/>
      <c r="K533" s="66"/>
      <c r="L533" s="66"/>
      <c r="M533" s="66"/>
      <c r="N533" s="66"/>
      <c r="P533" s="66"/>
      <c r="Q533" s="66"/>
      <c r="R533" s="66"/>
      <c r="S533" s="66"/>
      <c r="T533" s="66"/>
      <c r="U533" s="66"/>
      <c r="V533" s="66"/>
      <c r="W533" s="66"/>
      <c r="X533" s="66"/>
    </row>
    <row r="534" spans="5:24" ht="12.75">
      <c r="E534" s="66"/>
      <c r="F534" s="66"/>
      <c r="G534" s="66"/>
      <c r="H534" s="66"/>
      <c r="I534" s="66"/>
      <c r="J534" s="66"/>
      <c r="K534" s="66"/>
      <c r="L534" s="66"/>
      <c r="M534" s="66"/>
      <c r="N534" s="66"/>
      <c r="P534" s="66"/>
      <c r="Q534" s="66"/>
      <c r="R534" s="66"/>
      <c r="S534" s="66"/>
      <c r="T534" s="66"/>
      <c r="U534" s="66"/>
      <c r="V534" s="66"/>
      <c r="W534" s="66"/>
      <c r="X534" s="66"/>
    </row>
    <row r="535" spans="5:24" ht="12.75">
      <c r="E535" s="66"/>
      <c r="F535" s="66"/>
      <c r="G535" s="66"/>
      <c r="H535" s="66"/>
      <c r="I535" s="66"/>
      <c r="J535" s="66"/>
      <c r="K535" s="66"/>
      <c r="L535" s="66"/>
      <c r="M535" s="66"/>
      <c r="N535" s="66"/>
      <c r="P535" s="66"/>
      <c r="Q535" s="66"/>
      <c r="R535" s="66"/>
      <c r="S535" s="66"/>
      <c r="T535" s="66"/>
      <c r="U535" s="66"/>
      <c r="V535" s="66"/>
      <c r="W535" s="66"/>
      <c r="X535" s="66"/>
    </row>
    <row r="536" spans="5:24" ht="12.75">
      <c r="E536" s="66"/>
      <c r="F536" s="66"/>
      <c r="G536" s="66"/>
      <c r="H536" s="66"/>
      <c r="I536" s="66"/>
      <c r="J536" s="66"/>
      <c r="K536" s="66"/>
      <c r="L536" s="66"/>
      <c r="M536" s="66"/>
      <c r="N536" s="66"/>
      <c r="P536" s="66"/>
      <c r="Q536" s="66"/>
      <c r="R536" s="66"/>
      <c r="S536" s="66"/>
      <c r="T536" s="66"/>
      <c r="U536" s="66"/>
      <c r="V536" s="66"/>
      <c r="W536" s="66"/>
      <c r="X536" s="66"/>
    </row>
    <row r="537" spans="5:24" ht="12.75">
      <c r="E537" s="66"/>
      <c r="F537" s="66"/>
      <c r="G537" s="66"/>
      <c r="H537" s="66"/>
      <c r="I537" s="66"/>
      <c r="J537" s="66"/>
      <c r="K537" s="66"/>
      <c r="L537" s="66"/>
      <c r="M537" s="66"/>
      <c r="N537" s="66"/>
      <c r="P537" s="66"/>
      <c r="Q537" s="66"/>
      <c r="R537" s="66"/>
      <c r="S537" s="66"/>
      <c r="T537" s="66"/>
      <c r="U537" s="66"/>
      <c r="V537" s="66"/>
      <c r="W537" s="66"/>
      <c r="X537" s="66"/>
    </row>
    <row r="538" spans="5:24" ht="12.75">
      <c r="E538" s="66"/>
      <c r="F538" s="66"/>
      <c r="G538" s="66"/>
      <c r="H538" s="66"/>
      <c r="I538" s="66"/>
      <c r="J538" s="66"/>
      <c r="K538" s="66"/>
      <c r="L538" s="66"/>
      <c r="M538" s="66"/>
      <c r="N538" s="66"/>
      <c r="P538" s="66"/>
      <c r="Q538" s="66"/>
      <c r="R538" s="66"/>
      <c r="S538" s="66"/>
      <c r="T538" s="66"/>
      <c r="U538" s="66"/>
      <c r="V538" s="66"/>
      <c r="W538" s="66"/>
      <c r="X538" s="66"/>
    </row>
    <row r="539" spans="5:24" ht="12.75">
      <c r="E539" s="66"/>
      <c r="F539" s="66"/>
      <c r="G539" s="66"/>
      <c r="H539" s="66"/>
      <c r="I539" s="66"/>
      <c r="J539" s="66"/>
      <c r="K539" s="66"/>
      <c r="L539" s="66"/>
      <c r="M539" s="66"/>
      <c r="N539" s="66"/>
      <c r="P539" s="66"/>
      <c r="Q539" s="66"/>
      <c r="R539" s="66"/>
      <c r="S539" s="66"/>
      <c r="T539" s="66"/>
      <c r="U539" s="66"/>
      <c r="V539" s="66"/>
      <c r="W539" s="66"/>
      <c r="X539" s="66"/>
    </row>
    <row r="540" spans="5:24" ht="12.75">
      <c r="E540" s="66"/>
      <c r="F540" s="66"/>
      <c r="G540" s="66"/>
      <c r="H540" s="66"/>
      <c r="I540" s="66"/>
      <c r="J540" s="66"/>
      <c r="K540" s="66"/>
      <c r="L540" s="66"/>
      <c r="M540" s="66"/>
      <c r="N540" s="66"/>
      <c r="P540" s="66"/>
      <c r="Q540" s="66"/>
      <c r="R540" s="66"/>
      <c r="S540" s="66"/>
      <c r="T540" s="66"/>
      <c r="U540" s="66"/>
      <c r="V540" s="66"/>
      <c r="W540" s="66"/>
      <c r="X540" s="66"/>
    </row>
    <row r="541" spans="5:24" ht="12.75">
      <c r="E541" s="66"/>
      <c r="F541" s="66"/>
      <c r="G541" s="66"/>
      <c r="H541" s="66"/>
      <c r="I541" s="66"/>
      <c r="J541" s="66"/>
      <c r="K541" s="66"/>
      <c r="L541" s="66"/>
      <c r="M541" s="66"/>
      <c r="N541" s="66"/>
      <c r="P541" s="66"/>
      <c r="Q541" s="66"/>
      <c r="R541" s="66"/>
      <c r="S541" s="66"/>
      <c r="T541" s="66"/>
      <c r="U541" s="66"/>
      <c r="V541" s="66"/>
      <c r="W541" s="66"/>
      <c r="X541" s="66"/>
    </row>
    <row r="542" spans="5:24" ht="12.75">
      <c r="E542" s="66"/>
      <c r="F542" s="66"/>
      <c r="G542" s="66"/>
      <c r="H542" s="66"/>
      <c r="I542" s="66"/>
      <c r="J542" s="66"/>
      <c r="K542" s="66"/>
      <c r="L542" s="66"/>
      <c r="M542" s="66"/>
      <c r="N542" s="66"/>
      <c r="P542" s="66"/>
      <c r="Q542" s="66"/>
      <c r="R542" s="66"/>
      <c r="S542" s="66"/>
      <c r="T542" s="66"/>
      <c r="U542" s="66"/>
      <c r="V542" s="66"/>
      <c r="W542" s="66"/>
      <c r="X542" s="66"/>
    </row>
    <row r="543" spans="5:24" ht="12.75">
      <c r="E543" s="66"/>
      <c r="F543" s="66"/>
      <c r="G543" s="66"/>
      <c r="H543" s="66"/>
      <c r="I543" s="66"/>
      <c r="J543" s="66"/>
      <c r="K543" s="66"/>
      <c r="L543" s="66"/>
      <c r="M543" s="66"/>
      <c r="N543" s="66"/>
      <c r="P543" s="66"/>
      <c r="Q543" s="66"/>
      <c r="R543" s="66"/>
      <c r="S543" s="66"/>
      <c r="T543" s="66"/>
      <c r="U543" s="66"/>
      <c r="V543" s="66"/>
      <c r="W543" s="66"/>
      <c r="X543" s="66"/>
    </row>
    <row r="544" spans="5:24" ht="12.75">
      <c r="E544" s="66"/>
      <c r="F544" s="66"/>
      <c r="G544" s="66"/>
      <c r="H544" s="66"/>
      <c r="I544" s="66"/>
      <c r="J544" s="66"/>
      <c r="K544" s="66"/>
      <c r="L544" s="66"/>
      <c r="M544" s="66"/>
      <c r="N544" s="66"/>
      <c r="P544" s="66"/>
      <c r="Q544" s="66"/>
      <c r="R544" s="66"/>
      <c r="S544" s="66"/>
      <c r="T544" s="66"/>
      <c r="U544" s="66"/>
      <c r="V544" s="66"/>
      <c r="W544" s="66"/>
      <c r="X544" s="66"/>
    </row>
    <row r="545" spans="5:24" ht="12.75">
      <c r="E545" s="66"/>
      <c r="F545" s="66"/>
      <c r="G545" s="66"/>
      <c r="H545" s="66"/>
      <c r="I545" s="66"/>
      <c r="J545" s="66"/>
      <c r="K545" s="66"/>
      <c r="L545" s="66"/>
      <c r="M545" s="66"/>
      <c r="N545" s="66"/>
      <c r="P545" s="66"/>
      <c r="Q545" s="66"/>
      <c r="R545" s="66"/>
      <c r="S545" s="66"/>
      <c r="T545" s="66"/>
      <c r="U545" s="66"/>
      <c r="V545" s="66"/>
      <c r="W545" s="66"/>
      <c r="X545" s="66"/>
    </row>
    <row r="546" spans="5:24" ht="12.75">
      <c r="E546" s="66"/>
      <c r="F546" s="66"/>
      <c r="G546" s="66"/>
      <c r="H546" s="66"/>
      <c r="I546" s="66"/>
      <c r="J546" s="66"/>
      <c r="K546" s="66"/>
      <c r="L546" s="66"/>
      <c r="M546" s="66"/>
      <c r="N546" s="66"/>
      <c r="P546" s="66"/>
      <c r="Q546" s="66"/>
      <c r="R546" s="66"/>
      <c r="S546" s="66"/>
      <c r="T546" s="66"/>
      <c r="U546" s="66"/>
      <c r="V546" s="66"/>
      <c r="W546" s="66"/>
      <c r="X546" s="66"/>
    </row>
    <row r="547" spans="5:24" ht="12.75">
      <c r="E547" s="66"/>
      <c r="F547" s="66"/>
      <c r="G547" s="66"/>
      <c r="H547" s="66"/>
      <c r="I547" s="66"/>
      <c r="J547" s="66"/>
      <c r="K547" s="66"/>
      <c r="L547" s="66"/>
      <c r="M547" s="66"/>
      <c r="N547" s="66"/>
      <c r="O547" s="66"/>
      <c r="P547" s="66"/>
      <c r="Q547" s="66"/>
      <c r="R547" s="66"/>
      <c r="S547" s="66"/>
      <c r="T547" s="66"/>
      <c r="U547" s="66"/>
      <c r="V547" s="66"/>
      <c r="W547" s="66"/>
      <c r="X547" s="66"/>
    </row>
    <row r="548" spans="5:24" ht="12.75">
      <c r="E548" s="66"/>
      <c r="F548" s="66"/>
      <c r="G548" s="66"/>
      <c r="H548" s="66"/>
      <c r="I548" s="66"/>
      <c r="J548" s="66"/>
      <c r="K548" s="66"/>
      <c r="L548" s="66"/>
      <c r="M548" s="66"/>
      <c r="N548" s="66"/>
      <c r="O548" s="66"/>
      <c r="P548" s="66"/>
      <c r="Q548" s="66"/>
      <c r="R548" s="66"/>
      <c r="S548" s="66"/>
      <c r="T548" s="66"/>
      <c r="U548" s="66"/>
      <c r="V548" s="66"/>
      <c r="W548" s="66"/>
      <c r="X548" s="66"/>
    </row>
    <row r="549" spans="5:24" ht="12.75">
      <c r="E549" s="66"/>
      <c r="F549" s="66"/>
      <c r="G549" s="66"/>
      <c r="H549" s="66"/>
      <c r="I549" s="66"/>
      <c r="J549" s="66"/>
      <c r="K549" s="66"/>
      <c r="L549" s="66"/>
      <c r="M549" s="66"/>
      <c r="N549" s="66"/>
      <c r="O549" s="66"/>
      <c r="P549" s="66"/>
      <c r="Q549" s="66"/>
      <c r="R549" s="66"/>
      <c r="S549" s="66"/>
      <c r="T549" s="66"/>
      <c r="U549" s="66"/>
      <c r="V549" s="66"/>
      <c r="W549" s="66"/>
      <c r="X549" s="66"/>
    </row>
    <row r="550" spans="5:24" ht="12.75">
      <c r="E550" s="66"/>
      <c r="F550" s="66"/>
      <c r="G550" s="66"/>
      <c r="H550" s="66"/>
      <c r="I550" s="66"/>
      <c r="J550" s="66"/>
      <c r="K550" s="66"/>
      <c r="L550" s="66"/>
      <c r="M550" s="66"/>
      <c r="N550" s="66"/>
      <c r="O550" s="66"/>
      <c r="P550" s="66"/>
      <c r="Q550" s="66"/>
      <c r="R550" s="66"/>
      <c r="S550" s="66"/>
      <c r="T550" s="66"/>
      <c r="U550" s="66"/>
      <c r="V550" s="66"/>
      <c r="W550" s="66"/>
      <c r="X550" s="66"/>
    </row>
    <row r="551" spans="5:24" ht="12.75">
      <c r="E551" s="66"/>
      <c r="F551" s="66"/>
      <c r="G551" s="66"/>
      <c r="H551" s="66"/>
      <c r="I551" s="66"/>
      <c r="J551" s="66"/>
      <c r="K551" s="66"/>
      <c r="L551" s="66"/>
      <c r="M551" s="66"/>
      <c r="N551" s="66"/>
      <c r="O551" s="66"/>
      <c r="P551" s="66"/>
      <c r="Q551" s="66"/>
      <c r="R551" s="66"/>
      <c r="S551" s="66"/>
      <c r="T551" s="66"/>
      <c r="U551" s="66"/>
      <c r="V551" s="66"/>
      <c r="W551" s="66"/>
      <c r="X551" s="66"/>
    </row>
    <row r="552" spans="5:24" ht="12.75">
      <c r="E552" s="66"/>
      <c r="F552" s="66"/>
      <c r="G552" s="66"/>
      <c r="H552" s="66"/>
      <c r="I552" s="66"/>
      <c r="J552" s="66"/>
      <c r="K552" s="66"/>
      <c r="L552" s="66"/>
      <c r="M552" s="66"/>
      <c r="N552" s="66"/>
      <c r="O552" s="66"/>
      <c r="P552" s="66"/>
      <c r="Q552" s="66"/>
      <c r="R552" s="66"/>
      <c r="S552" s="66"/>
      <c r="T552" s="66"/>
      <c r="U552" s="66"/>
      <c r="V552" s="66"/>
      <c r="W552" s="66"/>
      <c r="X552" s="66"/>
    </row>
    <row r="553" spans="5:24" ht="12.75">
      <c r="E553" s="66"/>
      <c r="F553" s="66"/>
      <c r="G553" s="66"/>
      <c r="H553" s="66"/>
      <c r="I553" s="66"/>
      <c r="J553" s="66"/>
      <c r="K553" s="66"/>
      <c r="L553" s="66"/>
      <c r="M553" s="66"/>
      <c r="N553" s="66"/>
      <c r="O553" s="66"/>
      <c r="P553" s="66"/>
      <c r="Q553" s="66"/>
      <c r="R553" s="66"/>
      <c r="S553" s="66"/>
      <c r="T553" s="66"/>
      <c r="U553" s="66"/>
      <c r="V553" s="66"/>
      <c r="W553" s="66"/>
      <c r="X553" s="66"/>
    </row>
    <row r="554" spans="5:24" ht="12.75">
      <c r="E554" s="66"/>
      <c r="F554" s="66"/>
      <c r="G554" s="66"/>
      <c r="H554" s="66"/>
      <c r="I554" s="66"/>
      <c r="J554" s="66"/>
      <c r="K554" s="66"/>
      <c r="L554" s="66"/>
      <c r="M554" s="66"/>
      <c r="N554" s="66"/>
      <c r="O554" s="66"/>
      <c r="P554" s="66"/>
      <c r="Q554" s="66"/>
      <c r="R554" s="66"/>
      <c r="S554" s="66"/>
      <c r="T554" s="66"/>
      <c r="U554" s="66"/>
      <c r="V554" s="66"/>
      <c r="W554" s="66"/>
      <c r="X554" s="66"/>
    </row>
    <row r="555" spans="5:24" ht="12.75">
      <c r="E555" s="66"/>
      <c r="F555" s="66"/>
      <c r="G555" s="66"/>
      <c r="H555" s="66"/>
      <c r="I555" s="66"/>
      <c r="J555" s="66"/>
      <c r="K555" s="66"/>
      <c r="L555" s="66"/>
      <c r="M555" s="66"/>
      <c r="N555" s="66"/>
      <c r="O555" s="66"/>
      <c r="P555" s="66"/>
      <c r="Q555" s="66"/>
      <c r="R555" s="66"/>
      <c r="S555" s="66"/>
      <c r="T555" s="66"/>
      <c r="U555" s="66"/>
      <c r="V555" s="66"/>
      <c r="W555" s="66"/>
      <c r="X555" s="66"/>
    </row>
    <row r="556" spans="5:24" ht="12.75">
      <c r="E556" s="66"/>
      <c r="F556" s="66"/>
      <c r="G556" s="66"/>
      <c r="H556" s="66"/>
      <c r="I556" s="66"/>
      <c r="J556" s="66"/>
      <c r="K556" s="66"/>
      <c r="L556" s="66"/>
      <c r="M556" s="66"/>
      <c r="N556" s="66"/>
      <c r="O556" s="66"/>
      <c r="P556" s="66"/>
      <c r="Q556" s="66"/>
      <c r="R556" s="66"/>
      <c r="S556" s="66"/>
      <c r="T556" s="66"/>
      <c r="U556" s="66"/>
      <c r="V556" s="66"/>
      <c r="W556" s="66"/>
      <c r="X556" s="66"/>
    </row>
    <row r="557" spans="5:24" ht="12.75">
      <c r="E557" s="66"/>
      <c r="F557" s="66"/>
      <c r="G557" s="66"/>
      <c r="H557" s="66"/>
      <c r="I557" s="66"/>
      <c r="J557" s="66"/>
      <c r="K557" s="66"/>
      <c r="L557" s="66"/>
      <c r="M557" s="66"/>
      <c r="N557" s="66"/>
      <c r="O557" s="66"/>
      <c r="P557" s="66"/>
      <c r="Q557" s="66"/>
      <c r="R557" s="66"/>
      <c r="S557" s="66"/>
      <c r="T557" s="66"/>
      <c r="U557" s="66"/>
      <c r="V557" s="66"/>
      <c r="W557" s="66"/>
      <c r="X557" s="66"/>
    </row>
    <row r="558" spans="5:24" ht="12.75">
      <c r="E558" s="66"/>
      <c r="F558" s="66"/>
      <c r="G558" s="66"/>
      <c r="H558" s="66"/>
      <c r="I558" s="66"/>
      <c r="J558" s="66"/>
      <c r="K558" s="66"/>
      <c r="L558" s="66"/>
      <c r="M558" s="66"/>
      <c r="N558" s="66"/>
      <c r="O558" s="66"/>
      <c r="P558" s="66"/>
      <c r="Q558" s="66"/>
      <c r="R558" s="66"/>
      <c r="S558" s="66"/>
      <c r="T558" s="66"/>
      <c r="U558" s="66"/>
      <c r="V558" s="66"/>
      <c r="W558" s="66"/>
      <c r="X558" s="66"/>
    </row>
    <row r="559" spans="5:24" ht="12.75">
      <c r="E559" s="66"/>
      <c r="F559" s="66"/>
      <c r="G559" s="66"/>
      <c r="H559" s="66"/>
      <c r="I559" s="66"/>
      <c r="J559" s="66"/>
      <c r="K559" s="66"/>
      <c r="L559" s="66"/>
      <c r="M559" s="66"/>
      <c r="N559" s="66"/>
      <c r="O559" s="66"/>
      <c r="P559" s="66"/>
      <c r="Q559" s="66"/>
      <c r="R559" s="66"/>
      <c r="S559" s="66"/>
      <c r="T559" s="66"/>
      <c r="U559" s="66"/>
      <c r="V559" s="66"/>
      <c r="W559" s="66"/>
      <c r="X559" s="66"/>
    </row>
    <row r="560" spans="5:24" ht="12.75">
      <c r="E560" s="66"/>
      <c r="F560" s="66"/>
      <c r="G560" s="66"/>
      <c r="H560" s="66"/>
      <c r="I560" s="66"/>
      <c r="J560" s="66"/>
      <c r="K560" s="66"/>
      <c r="L560" s="66"/>
      <c r="M560" s="66"/>
      <c r="N560" s="66"/>
      <c r="O560" s="66"/>
      <c r="P560" s="66"/>
      <c r="Q560" s="66"/>
      <c r="R560" s="66"/>
      <c r="S560" s="66"/>
      <c r="T560" s="66"/>
      <c r="U560" s="66"/>
      <c r="V560" s="66"/>
      <c r="W560" s="66"/>
      <c r="X560" s="66"/>
    </row>
    <row r="561" spans="5:24" ht="12.75">
      <c r="E561" s="66"/>
      <c r="F561" s="66"/>
      <c r="G561" s="66"/>
      <c r="H561" s="66"/>
      <c r="I561" s="66"/>
      <c r="J561" s="66"/>
      <c r="K561" s="66"/>
      <c r="L561" s="66"/>
      <c r="M561" s="66"/>
      <c r="N561" s="66"/>
      <c r="O561" s="66"/>
      <c r="P561" s="66"/>
      <c r="Q561" s="66"/>
      <c r="R561" s="66"/>
      <c r="S561" s="66"/>
      <c r="T561" s="66"/>
      <c r="U561" s="66"/>
      <c r="V561" s="66"/>
      <c r="W561" s="66"/>
      <c r="X561" s="66"/>
    </row>
    <row r="562" spans="5:24" ht="12.75">
      <c r="E562" s="66"/>
      <c r="F562" s="66"/>
      <c r="G562" s="66"/>
      <c r="H562" s="66"/>
      <c r="I562" s="66"/>
      <c r="J562" s="66"/>
      <c r="K562" s="66"/>
      <c r="L562" s="66"/>
      <c r="M562" s="66"/>
      <c r="N562" s="66"/>
      <c r="O562" s="66"/>
      <c r="P562" s="66"/>
      <c r="Q562" s="66"/>
      <c r="R562" s="66"/>
      <c r="S562" s="66"/>
      <c r="T562" s="66"/>
      <c r="U562" s="66"/>
      <c r="V562" s="66"/>
      <c r="W562" s="66"/>
      <c r="X562" s="66"/>
    </row>
    <row r="563" spans="5:24" ht="12.75">
      <c r="E563" s="66"/>
      <c r="F563" s="66"/>
      <c r="G563" s="66"/>
      <c r="H563" s="66"/>
      <c r="I563" s="66"/>
      <c r="J563" s="66"/>
      <c r="K563" s="66"/>
      <c r="L563" s="66"/>
      <c r="M563" s="66"/>
      <c r="N563" s="66"/>
      <c r="O563" s="66"/>
      <c r="P563" s="66"/>
      <c r="Q563" s="66"/>
      <c r="R563" s="66"/>
      <c r="S563" s="66"/>
      <c r="T563" s="66"/>
      <c r="U563" s="66"/>
      <c r="V563" s="66"/>
      <c r="W563" s="66"/>
      <c r="X563" s="66"/>
    </row>
    <row r="564" spans="5:24" ht="12.75">
      <c r="E564" s="66"/>
      <c r="F564" s="66"/>
      <c r="G564" s="66"/>
      <c r="H564" s="66"/>
      <c r="I564" s="66"/>
      <c r="J564" s="66"/>
      <c r="K564" s="66"/>
      <c r="L564" s="66"/>
      <c r="M564" s="66"/>
      <c r="N564" s="66"/>
      <c r="O564" s="66"/>
      <c r="P564" s="66"/>
      <c r="Q564" s="66"/>
      <c r="R564" s="66"/>
      <c r="S564" s="66"/>
      <c r="T564" s="66"/>
      <c r="U564" s="66"/>
      <c r="V564" s="66"/>
      <c r="W564" s="66"/>
      <c r="X564" s="66"/>
    </row>
    <row r="565" spans="5:24" ht="12.75">
      <c r="E565" s="66"/>
      <c r="F565" s="66"/>
      <c r="G565" s="66"/>
      <c r="H565" s="66"/>
      <c r="I565" s="66"/>
      <c r="J565" s="66"/>
      <c r="K565" s="66"/>
      <c r="L565" s="66"/>
      <c r="M565" s="66"/>
      <c r="N565" s="66"/>
      <c r="O565" s="66"/>
      <c r="P565" s="66"/>
      <c r="Q565" s="66"/>
      <c r="R565" s="66"/>
      <c r="S565" s="66"/>
      <c r="T565" s="66"/>
      <c r="U565" s="66"/>
      <c r="V565" s="66"/>
      <c r="W565" s="66"/>
      <c r="X565" s="66"/>
    </row>
    <row r="566" spans="5:24" ht="12.75">
      <c r="E566" s="66"/>
      <c r="F566" s="66"/>
      <c r="G566" s="66"/>
      <c r="H566" s="66"/>
      <c r="I566" s="66"/>
      <c r="J566" s="66"/>
      <c r="K566" s="66"/>
      <c r="L566" s="66"/>
      <c r="M566" s="66"/>
      <c r="N566" s="66"/>
      <c r="O566" s="66"/>
      <c r="P566" s="66"/>
      <c r="Q566" s="66"/>
      <c r="R566" s="66"/>
      <c r="S566" s="66"/>
      <c r="T566" s="66"/>
      <c r="U566" s="66"/>
      <c r="V566" s="66"/>
      <c r="W566" s="66"/>
      <c r="X566" s="66"/>
    </row>
    <row r="567" spans="5:24" ht="12.75">
      <c r="E567" s="66"/>
      <c r="F567" s="66"/>
      <c r="G567" s="66"/>
      <c r="H567" s="66"/>
      <c r="I567" s="66"/>
      <c r="J567" s="66"/>
      <c r="K567" s="66"/>
      <c r="L567" s="66"/>
      <c r="M567" s="66"/>
      <c r="N567" s="66"/>
      <c r="O567" s="66"/>
      <c r="P567" s="66"/>
      <c r="Q567" s="66"/>
      <c r="R567" s="66"/>
      <c r="S567" s="66"/>
      <c r="T567" s="66"/>
      <c r="U567" s="66"/>
      <c r="V567" s="66"/>
      <c r="W567" s="66"/>
      <c r="X567" s="66"/>
    </row>
    <row r="568" spans="5:24" ht="12.75">
      <c r="E568" s="66"/>
      <c r="F568" s="66"/>
      <c r="G568" s="66"/>
      <c r="H568" s="66"/>
      <c r="I568" s="66"/>
      <c r="J568" s="66"/>
      <c r="K568" s="66"/>
      <c r="L568" s="66"/>
      <c r="M568" s="66"/>
      <c r="N568" s="66"/>
      <c r="O568" s="66"/>
      <c r="P568" s="66"/>
      <c r="Q568" s="66"/>
      <c r="R568" s="66"/>
      <c r="S568" s="66"/>
      <c r="T568" s="66"/>
      <c r="U568" s="66"/>
      <c r="V568" s="66"/>
      <c r="W568" s="66"/>
      <c r="X568" s="66"/>
    </row>
    <row r="569" spans="5:24" ht="12.75">
      <c r="E569" s="66"/>
      <c r="F569" s="66"/>
      <c r="G569" s="66"/>
      <c r="H569" s="66"/>
      <c r="I569" s="66"/>
      <c r="J569" s="66"/>
      <c r="K569" s="66"/>
      <c r="L569" s="66"/>
      <c r="M569" s="66"/>
      <c r="N569" s="66"/>
      <c r="O569" s="66"/>
      <c r="P569" s="66"/>
      <c r="Q569" s="66"/>
      <c r="R569" s="66"/>
      <c r="S569" s="66"/>
      <c r="T569" s="66"/>
      <c r="U569" s="66"/>
      <c r="V569" s="66"/>
      <c r="W569" s="66"/>
      <c r="X569" s="66"/>
    </row>
    <row r="570" spans="5:24" ht="12.75">
      <c r="E570" s="66"/>
      <c r="F570" s="66"/>
      <c r="G570" s="66"/>
      <c r="H570" s="66"/>
      <c r="I570" s="66"/>
      <c r="J570" s="66"/>
      <c r="K570" s="66"/>
      <c r="L570" s="66"/>
      <c r="M570" s="66"/>
      <c r="N570" s="66"/>
      <c r="O570" s="66"/>
      <c r="P570" s="66"/>
      <c r="Q570" s="66"/>
      <c r="R570" s="66"/>
      <c r="S570" s="66"/>
      <c r="T570" s="66"/>
      <c r="U570" s="66"/>
      <c r="V570" s="66"/>
      <c r="W570" s="66"/>
      <c r="X570" s="66"/>
    </row>
    <row r="571" spans="5:24" ht="12.75">
      <c r="E571" s="66"/>
      <c r="F571" s="66"/>
      <c r="G571" s="66"/>
      <c r="H571" s="66"/>
      <c r="I571" s="66"/>
      <c r="J571" s="66"/>
      <c r="K571" s="66"/>
      <c r="L571" s="66"/>
      <c r="M571" s="66"/>
      <c r="N571" s="66"/>
      <c r="O571" s="66"/>
      <c r="P571" s="66"/>
      <c r="Q571" s="66"/>
      <c r="R571" s="66"/>
      <c r="S571" s="66"/>
      <c r="T571" s="66"/>
      <c r="U571" s="66"/>
      <c r="V571" s="66"/>
      <c r="W571" s="66"/>
      <c r="X571" s="66"/>
    </row>
    <row r="572" spans="5:24" ht="12.75">
      <c r="E572" s="66"/>
      <c r="F572" s="66"/>
      <c r="G572" s="66"/>
      <c r="H572" s="66"/>
      <c r="I572" s="66"/>
      <c r="J572" s="66"/>
      <c r="K572" s="66"/>
      <c r="L572" s="66"/>
      <c r="M572" s="66"/>
      <c r="N572" s="66"/>
      <c r="O572" s="66"/>
      <c r="P572" s="66"/>
      <c r="Q572" s="66"/>
      <c r="R572" s="66"/>
      <c r="S572" s="66"/>
      <c r="T572" s="66"/>
      <c r="U572" s="66"/>
      <c r="V572" s="66"/>
      <c r="W572" s="66"/>
      <c r="X572" s="66"/>
    </row>
    <row r="573" spans="5:24" ht="12.75">
      <c r="E573" s="66"/>
      <c r="F573" s="66"/>
      <c r="G573" s="66"/>
      <c r="H573" s="66"/>
      <c r="I573" s="66"/>
      <c r="J573" s="66"/>
      <c r="K573" s="66"/>
      <c r="L573" s="66"/>
      <c r="M573" s="66"/>
      <c r="N573" s="66"/>
      <c r="O573" s="66"/>
      <c r="P573" s="66"/>
      <c r="Q573" s="66"/>
      <c r="R573" s="66"/>
      <c r="S573" s="66"/>
      <c r="T573" s="66"/>
      <c r="U573" s="66"/>
      <c r="V573" s="66"/>
      <c r="W573" s="66"/>
      <c r="X573" s="66"/>
    </row>
    <row r="574" spans="5:24" ht="12.75">
      <c r="E574" s="66"/>
      <c r="F574" s="66"/>
      <c r="G574" s="66"/>
      <c r="H574" s="66"/>
      <c r="I574" s="66"/>
      <c r="J574" s="66"/>
      <c r="K574" s="66"/>
      <c r="L574" s="66"/>
      <c r="M574" s="66"/>
      <c r="N574" s="66"/>
      <c r="O574" s="66"/>
      <c r="P574" s="66"/>
      <c r="Q574" s="66"/>
      <c r="R574" s="66"/>
      <c r="S574" s="66"/>
      <c r="T574" s="66"/>
      <c r="U574" s="66"/>
      <c r="V574" s="66"/>
      <c r="W574" s="66"/>
      <c r="X574" s="66"/>
    </row>
    <row r="575" spans="5:24" ht="12.75">
      <c r="E575" s="66"/>
      <c r="F575" s="66"/>
      <c r="G575" s="66"/>
      <c r="H575" s="66"/>
      <c r="I575" s="66"/>
      <c r="J575" s="66"/>
      <c r="K575" s="66"/>
      <c r="L575" s="66"/>
      <c r="M575" s="66"/>
      <c r="N575" s="66"/>
      <c r="O575" s="66"/>
      <c r="P575" s="66"/>
      <c r="Q575" s="66"/>
      <c r="R575" s="66"/>
      <c r="S575" s="66"/>
      <c r="T575" s="66"/>
      <c r="U575" s="66"/>
      <c r="V575" s="66"/>
      <c r="W575" s="66"/>
      <c r="X575" s="66"/>
    </row>
    <row r="576" spans="5:24" ht="12.75">
      <c r="E576" s="66"/>
      <c r="F576" s="66"/>
      <c r="G576" s="66"/>
      <c r="H576" s="66"/>
      <c r="I576" s="66"/>
      <c r="J576" s="66"/>
      <c r="K576" s="66"/>
      <c r="L576" s="66"/>
      <c r="M576" s="66"/>
      <c r="N576" s="66"/>
      <c r="O576" s="66"/>
      <c r="P576" s="66"/>
      <c r="Q576" s="66"/>
      <c r="R576" s="66"/>
      <c r="S576" s="66"/>
      <c r="T576" s="66"/>
      <c r="U576" s="66"/>
      <c r="V576" s="66"/>
      <c r="W576" s="66"/>
      <c r="X576" s="66"/>
    </row>
    <row r="577" spans="5:24" ht="12.75">
      <c r="E577" s="66"/>
      <c r="F577" s="66"/>
      <c r="G577" s="66"/>
      <c r="H577" s="66"/>
      <c r="I577" s="66"/>
      <c r="J577" s="66"/>
      <c r="K577" s="66"/>
      <c r="L577" s="66"/>
      <c r="M577" s="66"/>
      <c r="N577" s="66"/>
      <c r="O577" s="66"/>
      <c r="P577" s="66"/>
      <c r="Q577" s="66"/>
      <c r="R577" s="66"/>
      <c r="S577" s="66"/>
      <c r="T577" s="66"/>
      <c r="U577" s="66"/>
      <c r="V577" s="66"/>
      <c r="W577" s="66"/>
      <c r="X577" s="66"/>
    </row>
    <row r="578" spans="5:24" ht="12.75">
      <c r="E578" s="66"/>
      <c r="F578" s="66"/>
      <c r="G578" s="66"/>
      <c r="H578" s="66"/>
      <c r="I578" s="66"/>
      <c r="J578" s="66"/>
      <c r="K578" s="66"/>
      <c r="L578" s="66"/>
      <c r="M578" s="66"/>
      <c r="N578" s="66"/>
      <c r="O578" s="66"/>
      <c r="P578" s="66"/>
      <c r="Q578" s="66"/>
      <c r="R578" s="66"/>
      <c r="S578" s="66"/>
      <c r="T578" s="66"/>
      <c r="U578" s="66"/>
      <c r="V578" s="66"/>
      <c r="W578" s="66"/>
      <c r="X578" s="66"/>
    </row>
    <row r="579" spans="5:24" ht="12.75">
      <c r="E579" s="66"/>
      <c r="F579" s="66"/>
      <c r="G579" s="66"/>
      <c r="H579" s="66"/>
      <c r="I579" s="66"/>
      <c r="J579" s="66"/>
      <c r="K579" s="66"/>
      <c r="L579" s="66"/>
      <c r="M579" s="66"/>
      <c r="N579" s="66"/>
      <c r="O579" s="66"/>
      <c r="P579" s="66"/>
      <c r="Q579" s="66"/>
      <c r="R579" s="66"/>
      <c r="S579" s="66"/>
      <c r="T579" s="66"/>
      <c r="U579" s="66"/>
      <c r="V579" s="66"/>
      <c r="W579" s="66"/>
      <c r="X579" s="66"/>
    </row>
    <row r="580" spans="5:24" ht="12.75">
      <c r="E580" s="66"/>
      <c r="F580" s="66"/>
      <c r="G580" s="66"/>
      <c r="H580" s="66"/>
      <c r="I580" s="66"/>
      <c r="J580" s="66"/>
      <c r="K580" s="66"/>
      <c r="L580" s="66"/>
      <c r="M580" s="66"/>
      <c r="N580" s="66"/>
      <c r="O580" s="66"/>
      <c r="P580" s="66"/>
      <c r="Q580" s="66"/>
      <c r="R580" s="66"/>
      <c r="S580" s="66"/>
      <c r="T580" s="66"/>
      <c r="U580" s="66"/>
      <c r="V580" s="66"/>
      <c r="W580" s="66"/>
      <c r="X580" s="66"/>
    </row>
    <row r="581" spans="5:24" ht="12.75">
      <c r="E581" s="66"/>
      <c r="F581" s="66"/>
      <c r="G581" s="66"/>
      <c r="H581" s="66"/>
      <c r="I581" s="66"/>
      <c r="J581" s="66"/>
      <c r="K581" s="66"/>
      <c r="L581" s="66"/>
      <c r="M581" s="66"/>
      <c r="N581" s="66"/>
      <c r="O581" s="66"/>
      <c r="P581" s="66"/>
      <c r="Q581" s="66"/>
      <c r="R581" s="66"/>
      <c r="S581" s="66"/>
      <c r="T581" s="66"/>
      <c r="U581" s="66"/>
      <c r="V581" s="66"/>
      <c r="W581" s="66"/>
      <c r="X581" s="66"/>
    </row>
    <row r="582" spans="5:24" ht="12.75">
      <c r="E582" s="66"/>
      <c r="F582" s="66"/>
      <c r="G582" s="66"/>
      <c r="H582" s="66"/>
      <c r="I582" s="66"/>
      <c r="J582" s="66"/>
      <c r="K582" s="66"/>
      <c r="L582" s="66"/>
      <c r="M582" s="66"/>
      <c r="N582" s="66"/>
      <c r="O582" s="66"/>
      <c r="P582" s="66"/>
      <c r="Q582" s="66"/>
      <c r="R582" s="66"/>
      <c r="S582" s="66"/>
      <c r="T582" s="66"/>
      <c r="U582" s="66"/>
      <c r="V582" s="66"/>
      <c r="W582" s="66"/>
      <c r="X582" s="66"/>
    </row>
    <row r="583" spans="5:24" ht="12.75">
      <c r="E583" s="66"/>
      <c r="F583" s="66"/>
      <c r="G583" s="66"/>
      <c r="H583" s="66"/>
      <c r="I583" s="66"/>
      <c r="J583" s="66"/>
      <c r="K583" s="66"/>
      <c r="L583" s="66"/>
      <c r="M583" s="66"/>
      <c r="N583" s="66"/>
      <c r="O583" s="66"/>
      <c r="P583" s="66"/>
      <c r="Q583" s="66"/>
      <c r="R583" s="66"/>
      <c r="S583" s="66"/>
      <c r="T583" s="66"/>
      <c r="U583" s="66"/>
      <c r="V583" s="66"/>
      <c r="W583" s="66"/>
      <c r="X583" s="66"/>
    </row>
    <row r="584" spans="5:24" ht="12.75">
      <c r="E584" s="66"/>
      <c r="F584" s="66"/>
      <c r="G584" s="66"/>
      <c r="H584" s="66"/>
      <c r="I584" s="66"/>
      <c r="J584" s="66"/>
      <c r="K584" s="66"/>
      <c r="L584" s="66"/>
      <c r="M584" s="66"/>
      <c r="N584" s="66"/>
      <c r="O584" s="66"/>
      <c r="P584" s="66"/>
      <c r="Q584" s="66"/>
      <c r="R584" s="66"/>
      <c r="S584" s="66"/>
      <c r="T584" s="66"/>
      <c r="U584" s="66"/>
      <c r="V584" s="66"/>
      <c r="W584" s="66"/>
      <c r="X584" s="66"/>
    </row>
    <row r="585" spans="5:24" ht="12.75">
      <c r="E585" s="66"/>
      <c r="F585" s="66"/>
      <c r="G585" s="66"/>
      <c r="H585" s="66"/>
      <c r="I585" s="66"/>
      <c r="J585" s="66"/>
      <c r="K585" s="66"/>
      <c r="L585" s="66"/>
      <c r="M585" s="66"/>
      <c r="N585" s="66"/>
      <c r="O585" s="66"/>
      <c r="P585" s="66"/>
      <c r="Q585" s="66"/>
      <c r="R585" s="66"/>
      <c r="S585" s="66"/>
      <c r="T585" s="66"/>
      <c r="U585" s="66"/>
      <c r="V585" s="66"/>
      <c r="W585" s="66"/>
      <c r="X585" s="66"/>
    </row>
    <row r="586" spans="5:24" ht="12.75">
      <c r="E586" s="66"/>
      <c r="F586" s="66"/>
      <c r="G586" s="66"/>
      <c r="H586" s="66"/>
      <c r="I586" s="66"/>
      <c r="J586" s="66"/>
      <c r="K586" s="66"/>
      <c r="L586" s="66"/>
      <c r="M586" s="66"/>
      <c r="N586" s="66"/>
      <c r="O586" s="66"/>
      <c r="P586" s="66"/>
      <c r="Q586" s="66"/>
      <c r="R586" s="66"/>
      <c r="S586" s="66"/>
      <c r="T586" s="66"/>
      <c r="U586" s="66"/>
      <c r="V586" s="66"/>
      <c r="W586" s="66"/>
      <c r="X586" s="66"/>
    </row>
    <row r="587" spans="5:24" ht="12.75">
      <c r="E587" s="66"/>
      <c r="F587" s="66"/>
      <c r="G587" s="66"/>
      <c r="H587" s="66"/>
      <c r="I587" s="66"/>
      <c r="J587" s="66"/>
      <c r="K587" s="66"/>
      <c r="L587" s="66"/>
      <c r="M587" s="66"/>
      <c r="N587" s="66"/>
      <c r="O587" s="66"/>
      <c r="P587" s="66"/>
      <c r="Q587" s="66"/>
      <c r="R587" s="66"/>
      <c r="S587" s="66"/>
      <c r="T587" s="66"/>
      <c r="U587" s="66"/>
      <c r="V587" s="66"/>
      <c r="W587" s="66"/>
      <c r="X587" s="66"/>
    </row>
    <row r="588" spans="5:24" ht="12.75">
      <c r="E588" s="66"/>
      <c r="F588" s="66"/>
      <c r="G588" s="66"/>
      <c r="H588" s="66"/>
      <c r="I588" s="66"/>
      <c r="J588" s="66"/>
      <c r="K588" s="66"/>
      <c r="L588" s="66"/>
      <c r="M588" s="66"/>
      <c r="N588" s="66"/>
      <c r="O588" s="66"/>
      <c r="P588" s="66"/>
      <c r="Q588" s="66"/>
      <c r="R588" s="66"/>
      <c r="S588" s="66"/>
      <c r="T588" s="66"/>
      <c r="U588" s="66"/>
      <c r="V588" s="66"/>
      <c r="W588" s="66"/>
      <c r="X588" s="66"/>
    </row>
    <row r="589" spans="5:24" ht="12.75">
      <c r="E589" s="66"/>
      <c r="F589" s="66"/>
      <c r="G589" s="66"/>
      <c r="H589" s="66"/>
      <c r="I589" s="66"/>
      <c r="J589" s="66"/>
      <c r="K589" s="66"/>
      <c r="L589" s="66"/>
      <c r="M589" s="66"/>
      <c r="N589" s="66"/>
      <c r="O589" s="66"/>
      <c r="P589" s="66"/>
      <c r="Q589" s="66"/>
      <c r="R589" s="66"/>
      <c r="S589" s="66"/>
      <c r="T589" s="66"/>
      <c r="U589" s="66"/>
      <c r="V589" s="66"/>
      <c r="W589" s="66"/>
      <c r="X589" s="66"/>
    </row>
    <row r="590" spans="5:24" ht="12.75">
      <c r="E590" s="66"/>
      <c r="F590" s="66"/>
      <c r="G590" s="66"/>
      <c r="H590" s="66"/>
      <c r="I590" s="66"/>
      <c r="J590" s="66"/>
      <c r="K590" s="66"/>
      <c r="L590" s="66"/>
      <c r="M590" s="66"/>
      <c r="N590" s="66"/>
      <c r="O590" s="66"/>
      <c r="P590" s="66"/>
      <c r="Q590" s="66"/>
      <c r="R590" s="66"/>
      <c r="S590" s="66"/>
      <c r="T590" s="66"/>
      <c r="U590" s="66"/>
      <c r="V590" s="66"/>
      <c r="W590" s="66"/>
      <c r="X590" s="66"/>
    </row>
    <row r="591" spans="5:24" ht="12.75">
      <c r="E591" s="66"/>
      <c r="F591" s="66"/>
      <c r="G591" s="66"/>
      <c r="H591" s="66"/>
      <c r="I591" s="66"/>
      <c r="J591" s="66"/>
      <c r="K591" s="66"/>
      <c r="L591" s="66"/>
      <c r="M591" s="66"/>
      <c r="N591" s="66"/>
      <c r="O591" s="66"/>
      <c r="P591" s="66"/>
      <c r="Q591" s="66"/>
      <c r="R591" s="66"/>
      <c r="S591" s="66"/>
      <c r="T591" s="66"/>
      <c r="U591" s="66"/>
      <c r="V591" s="66"/>
      <c r="W591" s="66"/>
      <c r="X591" s="66"/>
    </row>
    <row r="592" spans="5:24" ht="12.75">
      <c r="E592" s="66"/>
      <c r="F592" s="66"/>
      <c r="G592" s="66"/>
      <c r="H592" s="66"/>
      <c r="I592" s="66"/>
      <c r="J592" s="66"/>
      <c r="K592" s="66"/>
      <c r="L592" s="66"/>
      <c r="M592" s="66"/>
      <c r="N592" s="66"/>
      <c r="O592" s="66"/>
      <c r="P592" s="66"/>
      <c r="Q592" s="66"/>
      <c r="R592" s="66"/>
      <c r="S592" s="66"/>
      <c r="T592" s="66"/>
      <c r="U592" s="66"/>
      <c r="V592" s="66"/>
      <c r="W592" s="66"/>
      <c r="X592" s="66"/>
    </row>
    <row r="593" spans="5:24" ht="12.75">
      <c r="E593" s="66"/>
      <c r="F593" s="66"/>
      <c r="G593" s="66"/>
      <c r="H593" s="66"/>
      <c r="I593" s="66"/>
      <c r="J593" s="66"/>
      <c r="K593" s="66"/>
      <c r="L593" s="66"/>
      <c r="M593" s="66"/>
      <c r="N593" s="66"/>
      <c r="O593" s="66"/>
      <c r="P593" s="66"/>
      <c r="Q593" s="66"/>
      <c r="R593" s="66"/>
      <c r="S593" s="66"/>
      <c r="T593" s="66"/>
      <c r="U593" s="66"/>
      <c r="V593" s="66"/>
      <c r="W593" s="66"/>
      <c r="X593" s="66"/>
    </row>
    <row r="594" spans="5:24" ht="12.75">
      <c r="E594" s="66"/>
      <c r="F594" s="66"/>
      <c r="G594" s="66"/>
      <c r="H594" s="66"/>
      <c r="I594" s="66"/>
      <c r="J594" s="66"/>
      <c r="K594" s="66"/>
      <c r="L594" s="66"/>
      <c r="M594" s="66"/>
      <c r="N594" s="66"/>
      <c r="O594" s="66"/>
      <c r="P594" s="66"/>
      <c r="Q594" s="66"/>
      <c r="R594" s="66"/>
      <c r="S594" s="66"/>
      <c r="T594" s="66"/>
      <c r="U594" s="66"/>
      <c r="V594" s="66"/>
      <c r="W594" s="66"/>
      <c r="X594" s="66"/>
    </row>
    <row r="595" spans="5:24" ht="12.75">
      <c r="E595" s="66"/>
      <c r="F595" s="66"/>
      <c r="G595" s="66"/>
      <c r="H595" s="66"/>
      <c r="I595" s="66"/>
      <c r="J595" s="66"/>
      <c r="K595" s="66"/>
      <c r="L595" s="66"/>
      <c r="M595" s="66"/>
      <c r="N595" s="66"/>
      <c r="O595" s="66"/>
      <c r="P595" s="66"/>
      <c r="Q595" s="66"/>
      <c r="R595" s="66"/>
      <c r="S595" s="66"/>
      <c r="T595" s="66"/>
      <c r="U595" s="66"/>
      <c r="V595" s="66"/>
      <c r="W595" s="66"/>
      <c r="X595" s="66"/>
    </row>
    <row r="596" spans="5:24" ht="12.75">
      <c r="E596" s="66"/>
      <c r="F596" s="66"/>
      <c r="G596" s="66"/>
      <c r="H596" s="66"/>
      <c r="I596" s="66"/>
      <c r="J596" s="66"/>
      <c r="K596" s="66"/>
      <c r="L596" s="66"/>
      <c r="M596" s="66"/>
      <c r="N596" s="66"/>
      <c r="O596" s="66"/>
      <c r="P596" s="66"/>
      <c r="Q596" s="66"/>
      <c r="R596" s="66"/>
      <c r="S596" s="66"/>
      <c r="T596" s="66"/>
      <c r="U596" s="66"/>
      <c r="V596" s="66"/>
      <c r="W596" s="66"/>
      <c r="X596" s="66"/>
    </row>
    <row r="597" spans="5:24" ht="12.75">
      <c r="E597" s="66"/>
      <c r="F597" s="66"/>
      <c r="G597" s="66"/>
      <c r="H597" s="66"/>
      <c r="I597" s="66"/>
      <c r="J597" s="66"/>
      <c r="K597" s="66"/>
      <c r="L597" s="66"/>
      <c r="M597" s="66"/>
      <c r="N597" s="66"/>
      <c r="O597" s="66"/>
      <c r="P597" s="66"/>
      <c r="Q597" s="66"/>
      <c r="R597" s="66"/>
      <c r="S597" s="66"/>
      <c r="T597" s="66"/>
      <c r="U597" s="66"/>
      <c r="V597" s="66"/>
      <c r="W597" s="66"/>
      <c r="X597" s="66"/>
    </row>
    <row r="598" spans="5:24" ht="12.75">
      <c r="E598" s="66"/>
      <c r="F598" s="66"/>
      <c r="G598" s="66"/>
      <c r="H598" s="66"/>
      <c r="I598" s="66"/>
      <c r="J598" s="66"/>
      <c r="K598" s="66"/>
      <c r="L598" s="66"/>
      <c r="M598" s="66"/>
      <c r="N598" s="66"/>
      <c r="O598" s="66"/>
      <c r="P598" s="66"/>
      <c r="Q598" s="66"/>
      <c r="R598" s="66"/>
      <c r="S598" s="66"/>
      <c r="T598" s="66"/>
      <c r="U598" s="66"/>
      <c r="V598" s="66"/>
      <c r="W598" s="66"/>
      <c r="X598" s="66"/>
    </row>
    <row r="599" spans="5:24" ht="12.75">
      <c r="E599" s="66"/>
      <c r="F599" s="66"/>
      <c r="G599" s="66"/>
      <c r="H599" s="66"/>
      <c r="I599" s="66"/>
      <c r="J599" s="66"/>
      <c r="K599" s="66"/>
      <c r="L599" s="66"/>
      <c r="M599" s="66"/>
      <c r="N599" s="66"/>
      <c r="O599" s="66"/>
      <c r="P599" s="66"/>
      <c r="Q599" s="66"/>
      <c r="R599" s="66"/>
      <c r="S599" s="66"/>
      <c r="T599" s="66"/>
      <c r="U599" s="66"/>
      <c r="V599" s="66"/>
      <c r="W599" s="66"/>
      <c r="X599" s="66"/>
    </row>
    <row r="600" spans="5:24" ht="12.75">
      <c r="E600" s="66"/>
      <c r="F600" s="66"/>
      <c r="G600" s="66"/>
      <c r="H600" s="66"/>
      <c r="I600" s="66"/>
      <c r="J600" s="66"/>
      <c r="K600" s="66"/>
      <c r="L600" s="66"/>
      <c r="M600" s="66"/>
      <c r="N600" s="66"/>
      <c r="O600" s="66"/>
      <c r="P600" s="66"/>
      <c r="Q600" s="66"/>
      <c r="R600" s="66"/>
      <c r="S600" s="66"/>
      <c r="T600" s="66"/>
      <c r="U600" s="66"/>
      <c r="V600" s="66"/>
      <c r="W600" s="66"/>
      <c r="X600" s="66"/>
    </row>
    <row r="601" spans="5:24" ht="12.75">
      <c r="E601" s="66"/>
      <c r="F601" s="66"/>
      <c r="G601" s="66"/>
      <c r="H601" s="66"/>
      <c r="I601" s="66"/>
      <c r="J601" s="66"/>
      <c r="K601" s="66"/>
      <c r="L601" s="66"/>
      <c r="M601" s="66"/>
      <c r="N601" s="66"/>
      <c r="O601" s="66"/>
      <c r="P601" s="66"/>
      <c r="Q601" s="66"/>
      <c r="R601" s="66"/>
      <c r="S601" s="66"/>
      <c r="T601" s="66"/>
      <c r="U601" s="66"/>
      <c r="V601" s="66"/>
      <c r="W601" s="66"/>
      <c r="X601" s="66"/>
    </row>
    <row r="602" spans="5:24" ht="12.75">
      <c r="E602" s="66"/>
      <c r="F602" s="66"/>
      <c r="G602" s="66"/>
      <c r="H602" s="66"/>
      <c r="I602" s="66"/>
      <c r="J602" s="66"/>
      <c r="K602" s="66"/>
      <c r="L602" s="66"/>
      <c r="M602" s="66"/>
      <c r="N602" s="66"/>
      <c r="O602" s="66"/>
      <c r="P602" s="66"/>
      <c r="Q602" s="66"/>
      <c r="R602" s="66"/>
      <c r="S602" s="66"/>
      <c r="T602" s="66"/>
      <c r="U602" s="66"/>
      <c r="V602" s="66"/>
      <c r="W602" s="66"/>
      <c r="X602" s="66"/>
    </row>
    <row r="603" spans="5:24" ht="12.75">
      <c r="E603" s="66"/>
      <c r="F603" s="66"/>
      <c r="G603" s="66"/>
      <c r="H603" s="66"/>
      <c r="I603" s="66"/>
      <c r="J603" s="66"/>
      <c r="K603" s="66"/>
      <c r="L603" s="66"/>
      <c r="M603" s="66"/>
      <c r="N603" s="66"/>
      <c r="O603" s="66"/>
      <c r="P603" s="66"/>
      <c r="Q603" s="66"/>
      <c r="R603" s="66"/>
      <c r="S603" s="66"/>
      <c r="T603" s="66"/>
      <c r="U603" s="66"/>
      <c r="V603" s="66"/>
      <c r="W603" s="66"/>
      <c r="X603" s="66"/>
    </row>
    <row r="604" spans="5:24" ht="12.75">
      <c r="E604" s="66"/>
      <c r="F604" s="66"/>
      <c r="G604" s="66"/>
      <c r="H604" s="66"/>
      <c r="I604" s="66"/>
      <c r="J604" s="66"/>
      <c r="K604" s="66"/>
      <c r="L604" s="66"/>
      <c r="M604" s="66"/>
      <c r="N604" s="66"/>
      <c r="O604" s="66"/>
      <c r="P604" s="66"/>
      <c r="Q604" s="66"/>
      <c r="R604" s="66"/>
      <c r="S604" s="66"/>
      <c r="T604" s="66"/>
      <c r="U604" s="66"/>
      <c r="V604" s="66"/>
      <c r="W604" s="66"/>
      <c r="X604" s="66"/>
    </row>
    <row r="605" spans="5:24" ht="12.75">
      <c r="E605" s="66"/>
      <c r="F605" s="66"/>
      <c r="G605" s="66"/>
      <c r="H605" s="66"/>
      <c r="I605" s="66"/>
      <c r="J605" s="66"/>
      <c r="K605" s="66"/>
      <c r="L605" s="66"/>
      <c r="M605" s="66"/>
      <c r="N605" s="66"/>
      <c r="O605" s="66"/>
      <c r="P605" s="66"/>
      <c r="Q605" s="66"/>
      <c r="R605" s="66"/>
      <c r="S605" s="66"/>
      <c r="T605" s="66"/>
      <c r="U605" s="66"/>
      <c r="V605" s="66"/>
      <c r="W605" s="66"/>
      <c r="X605" s="66"/>
    </row>
    <row r="606" spans="5:24" ht="12.75">
      <c r="E606" s="66"/>
      <c r="F606" s="66"/>
      <c r="G606" s="66"/>
      <c r="H606" s="66"/>
      <c r="I606" s="66"/>
      <c r="J606" s="66"/>
      <c r="K606" s="66"/>
      <c r="L606" s="66"/>
      <c r="M606" s="66"/>
      <c r="N606" s="66"/>
      <c r="O606" s="66"/>
      <c r="P606" s="66"/>
      <c r="Q606" s="66"/>
      <c r="R606" s="66"/>
      <c r="S606" s="66"/>
      <c r="T606" s="66"/>
      <c r="U606" s="66"/>
      <c r="V606" s="66"/>
      <c r="W606" s="66"/>
      <c r="X606" s="66"/>
    </row>
    <row r="607" spans="5:24" ht="12.75">
      <c r="E607" s="66"/>
      <c r="F607" s="66"/>
      <c r="G607" s="66"/>
      <c r="H607" s="66"/>
      <c r="I607" s="66"/>
      <c r="J607" s="66"/>
      <c r="K607" s="66"/>
      <c r="L607" s="66"/>
      <c r="M607" s="66"/>
      <c r="N607" s="66"/>
      <c r="O607" s="66"/>
      <c r="P607" s="66"/>
      <c r="Q607" s="66"/>
      <c r="R607" s="66"/>
      <c r="S607" s="66"/>
      <c r="T607" s="66"/>
      <c r="U607" s="66"/>
      <c r="V607" s="66"/>
      <c r="W607" s="66"/>
      <c r="X607" s="66"/>
    </row>
    <row r="608" spans="5:24" ht="12.75">
      <c r="E608" s="66"/>
      <c r="F608" s="66"/>
      <c r="G608" s="66"/>
      <c r="H608" s="66"/>
      <c r="I608" s="66"/>
      <c r="J608" s="66"/>
      <c r="K608" s="66"/>
      <c r="L608" s="66"/>
      <c r="M608" s="66"/>
      <c r="N608" s="66"/>
      <c r="O608" s="66"/>
      <c r="P608" s="66"/>
      <c r="Q608" s="66"/>
      <c r="R608" s="66"/>
      <c r="S608" s="66"/>
      <c r="T608" s="66"/>
      <c r="U608" s="66"/>
      <c r="V608" s="66"/>
      <c r="W608" s="66"/>
      <c r="X608" s="66"/>
    </row>
    <row r="609" spans="5:24" ht="12.75">
      <c r="E609" s="66"/>
      <c r="F609" s="66"/>
      <c r="G609" s="66"/>
      <c r="H609" s="66"/>
      <c r="I609" s="66"/>
      <c r="J609" s="66"/>
      <c r="K609" s="66"/>
      <c r="L609" s="66"/>
      <c r="M609" s="66"/>
      <c r="N609" s="66"/>
      <c r="O609" s="66"/>
      <c r="P609" s="66"/>
      <c r="Q609" s="66"/>
      <c r="R609" s="66"/>
      <c r="S609" s="66"/>
      <c r="T609" s="66"/>
      <c r="U609" s="66"/>
      <c r="V609" s="66"/>
      <c r="W609" s="66"/>
      <c r="X609" s="66"/>
    </row>
    <row r="610" spans="5:24" ht="12.75">
      <c r="E610" s="66"/>
      <c r="F610" s="66"/>
      <c r="G610" s="66"/>
      <c r="H610" s="66"/>
      <c r="I610" s="66"/>
      <c r="J610" s="66"/>
      <c r="K610" s="66"/>
      <c r="L610" s="66"/>
      <c r="M610" s="66"/>
      <c r="N610" s="66"/>
      <c r="O610" s="66"/>
      <c r="P610" s="66"/>
      <c r="Q610" s="66"/>
      <c r="R610" s="66"/>
      <c r="S610" s="66"/>
      <c r="T610" s="66"/>
      <c r="U610" s="66"/>
      <c r="V610" s="66"/>
      <c r="W610" s="66"/>
      <c r="X610" s="66"/>
    </row>
    <row r="611" spans="5:24" ht="12.75">
      <c r="E611" s="66"/>
      <c r="F611" s="66"/>
      <c r="G611" s="66"/>
      <c r="H611" s="66"/>
      <c r="I611" s="66"/>
      <c r="J611" s="66"/>
      <c r="K611" s="66"/>
      <c r="L611" s="66"/>
      <c r="M611" s="66"/>
      <c r="N611" s="66"/>
      <c r="O611" s="66"/>
      <c r="P611" s="66"/>
      <c r="Q611" s="66"/>
      <c r="R611" s="66"/>
      <c r="S611" s="66"/>
      <c r="T611" s="66"/>
      <c r="U611" s="66"/>
      <c r="V611" s="66"/>
      <c r="W611" s="66"/>
      <c r="X611" s="66"/>
    </row>
    <row r="612" spans="5:24" ht="12.75">
      <c r="E612" s="66"/>
      <c r="F612" s="66"/>
      <c r="G612" s="66"/>
      <c r="H612" s="66"/>
      <c r="I612" s="66"/>
      <c r="J612" s="66"/>
      <c r="K612" s="66"/>
      <c r="L612" s="66"/>
      <c r="M612" s="66"/>
      <c r="N612" s="66"/>
      <c r="O612" s="66"/>
      <c r="P612" s="66"/>
      <c r="Q612" s="66"/>
      <c r="R612" s="66"/>
      <c r="S612" s="66"/>
      <c r="T612" s="66"/>
      <c r="U612" s="66"/>
      <c r="V612" s="66"/>
      <c r="W612" s="66"/>
      <c r="X612" s="66"/>
    </row>
    <row r="613" spans="5:24" ht="12.75">
      <c r="E613" s="66"/>
      <c r="F613" s="66"/>
      <c r="G613" s="66"/>
      <c r="H613" s="66"/>
      <c r="I613" s="66"/>
      <c r="J613" s="66"/>
      <c r="K613" s="66"/>
      <c r="L613" s="66"/>
      <c r="M613" s="66"/>
      <c r="N613" s="66"/>
      <c r="O613" s="66"/>
      <c r="P613" s="66"/>
      <c r="Q613" s="66"/>
      <c r="R613" s="66"/>
      <c r="S613" s="66"/>
      <c r="T613" s="66"/>
      <c r="U613" s="66"/>
      <c r="V613" s="66"/>
      <c r="W613" s="66"/>
      <c r="X613" s="66"/>
    </row>
    <row r="614" spans="5:24" ht="12.75">
      <c r="E614" s="66"/>
      <c r="F614" s="66"/>
      <c r="G614" s="66"/>
      <c r="H614" s="66"/>
      <c r="I614" s="66"/>
      <c r="J614" s="66"/>
      <c r="K614" s="66"/>
      <c r="L614" s="66"/>
      <c r="M614" s="66"/>
      <c r="N614" s="66"/>
      <c r="O614" s="66"/>
      <c r="P614" s="66"/>
      <c r="Q614" s="66"/>
      <c r="R614" s="66"/>
      <c r="S614" s="66"/>
      <c r="T614" s="66"/>
      <c r="U614" s="66"/>
      <c r="V614" s="66"/>
      <c r="W614" s="66"/>
      <c r="X614" s="66"/>
    </row>
    <row r="615" spans="5:24" ht="12.75">
      <c r="E615" s="66"/>
      <c r="F615" s="66"/>
      <c r="G615" s="66"/>
      <c r="H615" s="66"/>
      <c r="I615" s="66"/>
      <c r="J615" s="66"/>
      <c r="K615" s="66"/>
      <c r="L615" s="66"/>
      <c r="M615" s="66"/>
      <c r="N615" s="66"/>
      <c r="O615" s="66"/>
      <c r="P615" s="66"/>
      <c r="Q615" s="66"/>
      <c r="R615" s="66"/>
      <c r="S615" s="66"/>
      <c r="T615" s="66"/>
      <c r="U615" s="66"/>
      <c r="V615" s="66"/>
      <c r="W615" s="66"/>
      <c r="X615" s="66"/>
    </row>
    <row r="616" spans="5:24" ht="12.75">
      <c r="E616" s="66"/>
      <c r="F616" s="66"/>
      <c r="G616" s="66"/>
      <c r="H616" s="66"/>
      <c r="I616" s="66"/>
      <c r="J616" s="66"/>
      <c r="K616" s="66"/>
      <c r="L616" s="66"/>
      <c r="M616" s="66"/>
      <c r="N616" s="66"/>
      <c r="O616" s="66"/>
      <c r="P616" s="66"/>
      <c r="Q616" s="66"/>
      <c r="R616" s="66"/>
      <c r="S616" s="66"/>
      <c r="T616" s="66"/>
      <c r="U616" s="66"/>
      <c r="V616" s="66"/>
      <c r="W616" s="66"/>
      <c r="X616" s="66"/>
    </row>
    <row r="617" spans="5:24" ht="12.75">
      <c r="E617" s="66"/>
      <c r="F617" s="66"/>
      <c r="G617" s="66"/>
      <c r="H617" s="66"/>
      <c r="I617" s="66"/>
      <c r="J617" s="66"/>
      <c r="K617" s="66"/>
      <c r="L617" s="66"/>
      <c r="M617" s="66"/>
      <c r="N617" s="66"/>
      <c r="O617" s="66"/>
      <c r="P617" s="66"/>
      <c r="Q617" s="66"/>
      <c r="R617" s="66"/>
      <c r="S617" s="66"/>
      <c r="T617" s="66"/>
      <c r="U617" s="66"/>
      <c r="V617" s="66"/>
      <c r="W617" s="66"/>
      <c r="X617" s="66"/>
    </row>
    <row r="618" spans="5:24" ht="12.75">
      <c r="E618" s="66"/>
      <c r="F618" s="66"/>
      <c r="G618" s="66"/>
      <c r="H618" s="66"/>
      <c r="I618" s="66"/>
      <c r="J618" s="66"/>
      <c r="K618" s="66"/>
      <c r="L618" s="66"/>
      <c r="M618" s="66"/>
      <c r="N618" s="66"/>
      <c r="O618" s="66"/>
      <c r="P618" s="66"/>
      <c r="Q618" s="66"/>
      <c r="R618" s="66"/>
      <c r="S618" s="66"/>
      <c r="T618" s="66"/>
      <c r="U618" s="66"/>
      <c r="V618" s="66"/>
      <c r="W618" s="66"/>
      <c r="X618" s="66"/>
    </row>
    <row r="619" spans="5:24" ht="12.75">
      <c r="E619" s="66"/>
      <c r="F619" s="66"/>
      <c r="G619" s="66"/>
      <c r="H619" s="66"/>
      <c r="I619" s="66"/>
      <c r="J619" s="66"/>
      <c r="K619" s="66"/>
      <c r="L619" s="66"/>
      <c r="M619" s="66"/>
      <c r="N619" s="66"/>
      <c r="O619" s="66"/>
      <c r="P619" s="66"/>
      <c r="Q619" s="66"/>
      <c r="R619" s="66"/>
      <c r="S619" s="66"/>
      <c r="T619" s="66"/>
      <c r="U619" s="66"/>
      <c r="V619" s="66"/>
      <c r="W619" s="66"/>
      <c r="X619" s="66"/>
    </row>
    <row r="620" spans="5:24" ht="12.75">
      <c r="E620" s="66"/>
      <c r="F620" s="66"/>
      <c r="G620" s="66"/>
      <c r="H620" s="66"/>
      <c r="I620" s="66"/>
      <c r="J620" s="66"/>
      <c r="K620" s="66"/>
      <c r="L620" s="66"/>
      <c r="M620" s="66"/>
      <c r="N620" s="66"/>
      <c r="O620" s="66"/>
      <c r="P620" s="66"/>
      <c r="Q620" s="66"/>
      <c r="R620" s="66"/>
      <c r="S620" s="66"/>
      <c r="T620" s="66"/>
      <c r="U620" s="66"/>
      <c r="V620" s="66"/>
      <c r="W620" s="66"/>
      <c r="X620" s="66"/>
    </row>
    <row r="621" spans="5:24" ht="12.75">
      <c r="E621" s="66"/>
      <c r="F621" s="66"/>
      <c r="G621" s="66"/>
      <c r="H621" s="66"/>
      <c r="I621" s="66"/>
      <c r="J621" s="66"/>
      <c r="K621" s="66"/>
      <c r="L621" s="66"/>
      <c r="M621" s="66"/>
      <c r="N621" s="66"/>
      <c r="O621" s="66"/>
      <c r="P621" s="66"/>
      <c r="Q621" s="66"/>
      <c r="R621" s="66"/>
      <c r="S621" s="66"/>
      <c r="T621" s="66"/>
      <c r="U621" s="66"/>
      <c r="V621" s="66"/>
      <c r="W621" s="66"/>
      <c r="X621" s="66"/>
    </row>
    <row r="622" spans="5:24" ht="12.75">
      <c r="E622" s="66"/>
      <c r="F622" s="66"/>
      <c r="G622" s="66"/>
      <c r="H622" s="66"/>
      <c r="I622" s="66"/>
      <c r="J622" s="66"/>
      <c r="K622" s="66"/>
      <c r="L622" s="66"/>
      <c r="M622" s="66"/>
      <c r="N622" s="66"/>
      <c r="O622" s="66"/>
      <c r="P622" s="66"/>
      <c r="Q622" s="66"/>
      <c r="R622" s="66"/>
      <c r="S622" s="66"/>
      <c r="T622" s="66"/>
      <c r="U622" s="66"/>
      <c r="V622" s="66"/>
      <c r="W622" s="66"/>
      <c r="X622" s="66"/>
    </row>
    <row r="623" spans="5:24" ht="12.75">
      <c r="E623" s="66"/>
      <c r="F623" s="66"/>
      <c r="G623" s="66"/>
      <c r="H623" s="66"/>
      <c r="I623" s="66"/>
      <c r="J623" s="66"/>
      <c r="K623" s="66"/>
      <c r="L623" s="66"/>
      <c r="M623" s="66"/>
      <c r="N623" s="66"/>
      <c r="O623" s="66"/>
      <c r="P623" s="66"/>
      <c r="Q623" s="66"/>
      <c r="R623" s="66"/>
      <c r="S623" s="66"/>
      <c r="T623" s="66"/>
      <c r="U623" s="66"/>
      <c r="V623" s="66"/>
      <c r="W623" s="66"/>
      <c r="X623" s="66"/>
    </row>
    <row r="624" spans="5:24" ht="12.75">
      <c r="E624" s="66"/>
      <c r="F624" s="66"/>
      <c r="G624" s="66"/>
      <c r="H624" s="66"/>
      <c r="I624" s="66"/>
      <c r="J624" s="66"/>
      <c r="K624" s="66"/>
      <c r="L624" s="66"/>
      <c r="M624" s="66"/>
      <c r="N624" s="66"/>
      <c r="O624" s="66"/>
      <c r="P624" s="66"/>
      <c r="Q624" s="66"/>
      <c r="R624" s="66"/>
      <c r="S624" s="66"/>
      <c r="T624" s="66"/>
      <c r="U624" s="66"/>
      <c r="V624" s="66"/>
      <c r="W624" s="66"/>
      <c r="X624" s="66"/>
    </row>
    <row r="625" spans="5:24" ht="12.75">
      <c r="E625" s="66"/>
      <c r="F625" s="66"/>
      <c r="G625" s="66"/>
      <c r="H625" s="66"/>
      <c r="I625" s="66"/>
      <c r="J625" s="66"/>
      <c r="K625" s="66"/>
      <c r="L625" s="66"/>
      <c r="M625" s="66"/>
      <c r="N625" s="66"/>
      <c r="O625" s="66"/>
      <c r="P625" s="66"/>
      <c r="Q625" s="66"/>
      <c r="R625" s="66"/>
      <c r="S625" s="66"/>
      <c r="T625" s="66"/>
      <c r="U625" s="66"/>
      <c r="V625" s="66"/>
      <c r="W625" s="66"/>
      <c r="X625" s="66"/>
    </row>
    <row r="626" spans="5:24" ht="12.75">
      <c r="E626" s="66"/>
      <c r="F626" s="66"/>
      <c r="G626" s="66"/>
      <c r="H626" s="66"/>
      <c r="I626" s="66"/>
      <c r="J626" s="66"/>
      <c r="K626" s="66"/>
      <c r="L626" s="66"/>
      <c r="M626" s="66"/>
      <c r="N626" s="66"/>
      <c r="O626" s="66"/>
      <c r="P626" s="66"/>
      <c r="Q626" s="66"/>
      <c r="R626" s="66"/>
      <c r="S626" s="66"/>
      <c r="T626" s="66"/>
      <c r="U626" s="66"/>
      <c r="V626" s="66"/>
      <c r="W626" s="66"/>
      <c r="X626" s="66"/>
    </row>
    <row r="627" spans="5:24" ht="12.75">
      <c r="E627" s="66"/>
      <c r="F627" s="66"/>
      <c r="G627" s="66"/>
      <c r="H627" s="66"/>
      <c r="I627" s="66"/>
      <c r="J627" s="66"/>
      <c r="K627" s="66"/>
      <c r="L627" s="66"/>
      <c r="M627" s="66"/>
      <c r="N627" s="66"/>
      <c r="O627" s="66"/>
      <c r="P627" s="66"/>
      <c r="Q627" s="66"/>
      <c r="R627" s="66"/>
      <c r="S627" s="66"/>
      <c r="T627" s="66"/>
      <c r="U627" s="66"/>
      <c r="V627" s="66"/>
      <c r="W627" s="66"/>
      <c r="X627" s="66"/>
    </row>
    <row r="628" spans="5:24" ht="12.75">
      <c r="E628" s="66"/>
      <c r="F628" s="66"/>
      <c r="G628" s="66"/>
      <c r="H628" s="66"/>
      <c r="I628" s="66"/>
      <c r="J628" s="66"/>
      <c r="K628" s="66"/>
      <c r="L628" s="66"/>
      <c r="M628" s="66"/>
      <c r="N628" s="66"/>
      <c r="O628" s="66"/>
      <c r="P628" s="66"/>
      <c r="Q628" s="66"/>
      <c r="R628" s="66"/>
      <c r="S628" s="66"/>
      <c r="T628" s="66"/>
      <c r="U628" s="66"/>
      <c r="V628" s="66"/>
      <c r="W628" s="66"/>
      <c r="X628" s="66"/>
    </row>
  </sheetData>
  <printOptions/>
  <pageMargins left="0.7874015748031497" right="0.7874015748031497" top="0.984251968503937" bottom="0.984251968503937" header="0.5118110236220472" footer="0.5118110236220472"/>
  <pageSetup fitToHeight="1" fitToWidth="1" horizontalDpi="600" verticalDpi="600" orientation="portrait" paperSize="8" scale="13" r:id="rId3"/>
  <legacyDrawing r:id="rId2"/>
</worksheet>
</file>

<file path=xl/worksheets/sheet12.xml><?xml version="1.0" encoding="utf-8"?>
<worksheet xmlns="http://schemas.openxmlformats.org/spreadsheetml/2006/main" xmlns:r="http://schemas.openxmlformats.org/officeDocument/2006/relationships">
  <sheetPr codeName="Blad19"/>
  <dimension ref="A2:AT195"/>
  <sheetViews>
    <sheetView showGridLines="0" zoomScale="85" zoomScaleNormal="85" workbookViewId="0" topLeftCell="A1">
      <selection activeCell="A1" sqref="A1"/>
    </sheetView>
  </sheetViews>
  <sheetFormatPr defaultColWidth="9.140625" defaultRowHeight="12.75"/>
  <cols>
    <col min="1" max="1" width="6.8515625" style="106" customWidth="1"/>
    <col min="2" max="2" width="24.00390625" style="106" customWidth="1"/>
    <col min="3" max="4" width="9.7109375" style="106" customWidth="1"/>
    <col min="5" max="5" width="9.8515625" style="106" customWidth="1"/>
    <col min="6" max="6" width="10.57421875" style="106" customWidth="1"/>
    <col min="7" max="7" width="9.8515625" style="106" customWidth="1"/>
    <col min="8" max="8" width="9.8515625" style="106" bestFit="1" customWidth="1"/>
    <col min="9" max="9" width="12.140625" style="106" customWidth="1"/>
    <col min="10" max="10" width="9.7109375" style="106" bestFit="1" customWidth="1"/>
    <col min="11" max="11" width="10.8515625" style="106" customWidth="1"/>
    <col min="12" max="13" width="9.140625" style="106" customWidth="1"/>
    <col min="14" max="14" width="10.8515625" style="106" customWidth="1"/>
    <col min="15" max="15" width="9.28125" style="106" customWidth="1"/>
    <col min="16" max="18" width="9.140625" style="106" customWidth="1"/>
    <col min="19" max="20" width="9.28125" style="106" customWidth="1"/>
    <col min="21" max="23" width="9.140625" style="106" customWidth="1"/>
    <col min="24" max="24" width="10.28125" style="106" customWidth="1"/>
    <col min="25" max="25" width="9.28125" style="106" bestFit="1" customWidth="1"/>
    <col min="26" max="31" width="9.140625" style="106" customWidth="1"/>
    <col min="32" max="32" width="9.28125" style="106" bestFit="1" customWidth="1"/>
    <col min="33" max="33" width="8.7109375" style="106" customWidth="1"/>
    <col min="34" max="34" width="10.7109375" style="106" customWidth="1"/>
    <col min="35" max="35" width="11.57421875" style="106" bestFit="1" customWidth="1"/>
    <col min="37" max="38" width="9.140625" style="106" customWidth="1"/>
    <col min="39" max="39" width="11.00390625" style="106" customWidth="1"/>
    <col min="40" max="41" width="9.140625" style="106" customWidth="1"/>
    <col min="46" max="16384" width="9.140625" style="106" customWidth="1"/>
  </cols>
  <sheetData>
    <row r="2" s="300" customFormat="1" ht="52.5" customHeight="1">
      <c r="B2" s="3" t="s">
        <v>511</v>
      </c>
    </row>
    <row r="4" spans="2:45" s="5" customFormat="1" ht="12.75">
      <c r="B4" s="610" t="s">
        <v>510</v>
      </c>
      <c r="AJ4" s="609"/>
      <c r="AP4" s="609"/>
      <c r="AQ4" s="609"/>
      <c r="AR4" s="609"/>
      <c r="AS4" s="609"/>
    </row>
    <row r="6" spans="2:40" s="301" customFormat="1" ht="12.75">
      <c r="B6" s="611" t="s">
        <v>139</v>
      </c>
      <c r="C6" s="612"/>
      <c r="D6" s="612"/>
      <c r="E6" s="613"/>
      <c r="F6" s="318"/>
      <c r="G6" s="611" t="s">
        <v>58</v>
      </c>
      <c r="H6" s="612"/>
      <c r="I6" s="612"/>
      <c r="J6" s="613"/>
      <c r="L6" s="611" t="s">
        <v>141</v>
      </c>
      <c r="M6" s="612"/>
      <c r="N6" s="612"/>
      <c r="O6" s="613"/>
      <c r="Q6" s="611" t="s">
        <v>388</v>
      </c>
      <c r="R6" s="612"/>
      <c r="S6" s="612"/>
      <c r="T6" s="613"/>
      <c r="V6" s="611" t="s">
        <v>142</v>
      </c>
      <c r="W6" s="612"/>
      <c r="X6" s="612"/>
      <c r="Y6" s="613"/>
      <c r="AA6" s="611" t="s">
        <v>143</v>
      </c>
      <c r="AB6" s="612"/>
      <c r="AC6" s="612"/>
      <c r="AD6" s="613"/>
      <c r="AF6" s="611" t="s">
        <v>140</v>
      </c>
      <c r="AG6" s="612"/>
      <c r="AH6" s="612"/>
      <c r="AI6" s="613"/>
      <c r="AK6" s="611" t="s">
        <v>59</v>
      </c>
      <c r="AL6" s="612"/>
      <c r="AM6" s="612"/>
      <c r="AN6" s="613"/>
    </row>
    <row r="7" spans="2:40" ht="12.75">
      <c r="B7" s="614"/>
      <c r="C7" s="386"/>
      <c r="D7" s="386"/>
      <c r="E7" s="388"/>
      <c r="G7" s="614"/>
      <c r="H7" s="386"/>
      <c r="I7" s="386"/>
      <c r="J7" s="388"/>
      <c r="L7" s="614"/>
      <c r="M7" s="386"/>
      <c r="N7" s="386"/>
      <c r="O7" s="388"/>
      <c r="Q7" s="614"/>
      <c r="R7" s="386"/>
      <c r="S7" s="386"/>
      <c r="T7" s="388"/>
      <c r="V7" s="614"/>
      <c r="W7" s="386"/>
      <c r="X7" s="386"/>
      <c r="Y7" s="388"/>
      <c r="AA7" s="614"/>
      <c r="AB7" s="386"/>
      <c r="AC7" s="386"/>
      <c r="AD7" s="388"/>
      <c r="AF7" s="614"/>
      <c r="AG7" s="386"/>
      <c r="AH7" s="386"/>
      <c r="AI7" s="388"/>
      <c r="AK7" s="614"/>
      <c r="AL7" s="386"/>
      <c r="AM7" s="386"/>
      <c r="AN7" s="388"/>
    </row>
    <row r="8" spans="2:40" ht="12.75">
      <c r="B8" s="615" t="s">
        <v>490</v>
      </c>
      <c r="C8" s="386"/>
      <c r="D8" s="386"/>
      <c r="E8" s="641"/>
      <c r="G8" s="615" t="s">
        <v>490</v>
      </c>
      <c r="H8" s="386"/>
      <c r="I8" s="386"/>
      <c r="J8" s="641"/>
      <c r="L8" s="615" t="s">
        <v>490</v>
      </c>
      <c r="M8" s="386"/>
      <c r="N8" s="386"/>
      <c r="O8" s="641"/>
      <c r="Q8" s="615" t="s">
        <v>490</v>
      </c>
      <c r="R8" s="386"/>
      <c r="S8" s="386"/>
      <c r="T8" s="641"/>
      <c r="V8" s="615" t="s">
        <v>490</v>
      </c>
      <c r="W8" s="386"/>
      <c r="X8" s="386"/>
      <c r="Y8" s="641"/>
      <c r="AA8" s="615" t="s">
        <v>490</v>
      </c>
      <c r="AB8" s="386"/>
      <c r="AC8" s="386"/>
      <c r="AD8" s="641"/>
      <c r="AF8" s="615" t="s">
        <v>490</v>
      </c>
      <c r="AG8" s="386"/>
      <c r="AH8" s="386"/>
      <c r="AI8" s="641"/>
      <c r="AK8" s="615" t="s">
        <v>490</v>
      </c>
      <c r="AL8" s="386"/>
      <c r="AM8" s="386"/>
      <c r="AN8" s="388"/>
    </row>
    <row r="9" spans="2:40" ht="12.75">
      <c r="B9" s="616"/>
      <c r="C9" s="386"/>
      <c r="D9" s="386"/>
      <c r="E9" s="641"/>
      <c r="G9" s="616"/>
      <c r="H9" s="386"/>
      <c r="I9" s="386"/>
      <c r="J9" s="641"/>
      <c r="L9" s="616"/>
      <c r="M9" s="386"/>
      <c r="N9" s="386"/>
      <c r="O9" s="641"/>
      <c r="Q9" s="616"/>
      <c r="R9" s="386"/>
      <c r="S9" s="386"/>
      <c r="T9" s="641"/>
      <c r="V9" s="616"/>
      <c r="W9" s="386"/>
      <c r="X9" s="386"/>
      <c r="Y9" s="641"/>
      <c r="AA9" s="616"/>
      <c r="AB9" s="386"/>
      <c r="AC9" s="386"/>
      <c r="AD9" s="641"/>
      <c r="AF9" s="616"/>
      <c r="AG9" s="386"/>
      <c r="AH9" s="386"/>
      <c r="AI9" s="641"/>
      <c r="AK9" s="616"/>
      <c r="AL9" s="386"/>
      <c r="AM9" s="386"/>
      <c r="AN9" s="641"/>
    </row>
    <row r="10" spans="2:40" s="503" customFormat="1" ht="11.25">
      <c r="B10" s="618" t="str">
        <f>B64</f>
        <v>0 t/m 1*6A  (OV)</v>
      </c>
      <c r="C10" s="619"/>
      <c r="D10" s="619"/>
      <c r="E10" s="642">
        <f>E64</f>
        <v>541.606817585407</v>
      </c>
      <c r="G10" s="618" t="str">
        <f>G64</f>
        <v>t/m 1*6 A  geschakeld net </v>
      </c>
      <c r="H10" s="619"/>
      <c r="I10" s="619"/>
      <c r="J10" s="642">
        <f>J64</f>
        <v>1360</v>
      </c>
      <c r="L10" s="618" t="str">
        <f aca="true" t="shared" si="0" ref="L10:L22">L65</f>
        <v>t/m 1*6 A op geschakeld net</v>
      </c>
      <c r="M10" s="619"/>
      <c r="N10" s="619"/>
      <c r="O10" s="642">
        <f aca="true" t="shared" si="1" ref="O10:O22">O65</f>
        <v>29519.46935483871</v>
      </c>
      <c r="Q10" s="618" t="str">
        <f aca="true" t="shared" si="2" ref="Q10:Q20">Q64</f>
        <v>0 t/m 1*6 A aansluting op geschakeld net</v>
      </c>
      <c r="R10" s="619"/>
      <c r="S10" s="619"/>
      <c r="T10" s="642">
        <f aca="true" t="shared" si="3" ref="T10:T20">T64</f>
        <v>22</v>
      </c>
      <c r="V10" s="618" t="str">
        <f aca="true" t="shared" si="4" ref="V10:V20">V64</f>
        <v>t/m 3*25A</v>
      </c>
      <c r="W10" s="619"/>
      <c r="X10" s="619"/>
      <c r="Y10" s="642">
        <f aca="true" t="shared" si="5" ref="Y10:Y20">Y64</f>
        <v>36285</v>
      </c>
      <c r="AA10" s="618" t="str">
        <f>AA64</f>
        <v>0 t/m 1x6A LS geschakeld</v>
      </c>
      <c r="AB10" s="619"/>
      <c r="AC10" s="619"/>
      <c r="AD10" s="642">
        <f>AD64</f>
        <v>309</v>
      </c>
      <c r="AF10" s="618" t="str">
        <f aca="true" t="shared" si="6" ref="AF10:AF21">AF64</f>
        <v>1*6 A op geschakeld net</v>
      </c>
      <c r="AG10" s="619"/>
      <c r="AH10" s="619"/>
      <c r="AI10" s="642">
        <f aca="true" t="shared" si="7" ref="AI10:AI21">AI64</f>
        <v>16870.134756444942</v>
      </c>
      <c r="AK10" s="618" t="str">
        <f>AK64</f>
        <v>&gt;2,4 MVA en t/m 10 MVA</v>
      </c>
      <c r="AL10" s="619"/>
      <c r="AM10" s="619"/>
      <c r="AN10" s="642">
        <f>AN64</f>
        <v>1</v>
      </c>
    </row>
    <row r="11" spans="2:40" s="503" customFormat="1" ht="11.25">
      <c r="B11" s="618" t="str">
        <f aca="true" t="shared" si="8" ref="B11:B25">B65</f>
        <v>&gt; 1*6A  en t/m 3*25A</v>
      </c>
      <c r="C11" s="619"/>
      <c r="D11" s="619"/>
      <c r="E11" s="642">
        <f aca="true" t="shared" si="9" ref="E11:E25">E65</f>
        <v>658.0002804638002</v>
      </c>
      <c r="G11" s="618" t="str">
        <f aca="true" t="shared" si="10" ref="G11:G20">G65</f>
        <v>&gt; 1*6A en t/m 3*25A</v>
      </c>
      <c r="H11" s="619"/>
      <c r="I11" s="619"/>
      <c r="J11" s="642">
        <f aca="true" t="shared" si="11" ref="J11:J20">J65</f>
        <v>1868</v>
      </c>
      <c r="L11" s="618" t="str">
        <f t="shared" si="0"/>
        <v>t/m 1*40A </v>
      </c>
      <c r="M11" s="619"/>
      <c r="N11" s="619"/>
      <c r="O11" s="642">
        <f t="shared" si="1"/>
        <v>20542.66998319328</v>
      </c>
      <c r="Q11" s="618" t="str">
        <f t="shared" si="2"/>
        <v>&gt; 1*6A t/m 3*25A</v>
      </c>
      <c r="R11" s="619"/>
      <c r="S11" s="619"/>
      <c r="T11" s="642">
        <f t="shared" si="3"/>
        <v>1781</v>
      </c>
      <c r="V11" s="618" t="str">
        <f t="shared" si="4"/>
        <v>&gt;3*25A en t/m 3*50A</v>
      </c>
      <c r="W11" s="619"/>
      <c r="X11" s="619"/>
      <c r="Y11" s="642">
        <f t="shared" si="5"/>
        <v>2116</v>
      </c>
      <c r="AA11" s="618" t="str">
        <f aca="true" t="shared" si="12" ref="AA11:AA25">AA65</f>
        <v>0 t/m 3x25A en 1x40A</v>
      </c>
      <c r="AB11" s="619"/>
      <c r="AC11" s="619"/>
      <c r="AD11" s="642">
        <f aca="true" t="shared" si="13" ref="AD11:AD25">AD65</f>
        <v>315</v>
      </c>
      <c r="AF11" s="618" t="str">
        <f t="shared" si="6"/>
        <v>&gt;1*6A t/m 3*25A</v>
      </c>
      <c r="AG11" s="619"/>
      <c r="AH11" s="619"/>
      <c r="AI11" s="642">
        <f t="shared" si="7"/>
        <v>33085.45556173802</v>
      </c>
      <c r="AK11" s="618" t="str">
        <f aca="true" t="shared" si="14" ref="AK11:AK26">AK65</f>
        <v>&gt;= 1MW en t/m 2,4 MVA</v>
      </c>
      <c r="AL11" s="619"/>
      <c r="AM11" s="619"/>
      <c r="AN11" s="642">
        <f aca="true" t="shared" si="15" ref="AN11:AN26">AN65</f>
        <v>17</v>
      </c>
    </row>
    <row r="12" spans="2:40" s="503" customFormat="1" ht="11.25">
      <c r="B12" s="618" t="str">
        <f t="shared" si="8"/>
        <v>&gt;3*25A en t/m 3*35A</v>
      </c>
      <c r="C12" s="619"/>
      <c r="D12" s="619"/>
      <c r="E12" s="642">
        <f t="shared" si="9"/>
        <v>18</v>
      </c>
      <c r="G12" s="618" t="str">
        <f t="shared" si="10"/>
        <v>&gt;3*25A en t/m 3*35A</v>
      </c>
      <c r="H12" s="619"/>
      <c r="I12" s="619"/>
      <c r="J12" s="642">
        <f t="shared" si="11"/>
        <v>82</v>
      </c>
      <c r="L12" s="618" t="str">
        <f t="shared" si="0"/>
        <v>&gt; 1*40A t/m 3*25A</v>
      </c>
      <c r="M12" s="619"/>
      <c r="N12" s="619"/>
      <c r="O12" s="642">
        <f t="shared" si="1"/>
        <v>9893.809831932773</v>
      </c>
      <c r="Q12" s="618" t="str">
        <f t="shared" si="2"/>
        <v>&gt;3*25A t/m 3*63A</v>
      </c>
      <c r="R12" s="619"/>
      <c r="S12" s="619"/>
      <c r="T12" s="642">
        <f t="shared" si="3"/>
        <v>209</v>
      </c>
      <c r="V12" s="618" t="str">
        <f t="shared" si="4"/>
        <v>&gt;3*50A en t/m 3*80A</v>
      </c>
      <c r="W12" s="619"/>
      <c r="X12" s="619"/>
      <c r="Y12" s="642">
        <f t="shared" si="5"/>
        <v>1391</v>
      </c>
      <c r="AA12" s="618" t="str">
        <f t="shared" si="12"/>
        <v>&gt;3x25A en t/m 3x40A</v>
      </c>
      <c r="AB12" s="619"/>
      <c r="AC12" s="619"/>
      <c r="AD12" s="642">
        <f t="shared" si="13"/>
        <v>15</v>
      </c>
      <c r="AF12" s="618" t="str">
        <f t="shared" si="6"/>
        <v>&gt;3*25A en t/m 3*35A</v>
      </c>
      <c r="AG12" s="619"/>
      <c r="AH12" s="619"/>
      <c r="AI12" s="642">
        <f t="shared" si="7"/>
        <v>1196.971072030577</v>
      </c>
      <c r="AK12" s="618" t="str">
        <f t="shared" si="14"/>
        <v>&gt;3*1500A en t/m 3*1600A af sec. zijde LS</v>
      </c>
      <c r="AL12" s="619"/>
      <c r="AM12" s="619"/>
      <c r="AN12" s="642">
        <f t="shared" si="15"/>
        <v>8</v>
      </c>
    </row>
    <row r="13" spans="2:40" s="503" customFormat="1" ht="11.25">
      <c r="B13" s="618" t="str">
        <f t="shared" si="8"/>
        <v>&gt;3*35A en t/m 3*50A</v>
      </c>
      <c r="C13" s="619"/>
      <c r="D13" s="619"/>
      <c r="E13" s="642">
        <f t="shared" si="9"/>
        <v>4</v>
      </c>
      <c r="G13" s="618" t="str">
        <f t="shared" si="10"/>
        <v>&gt;3*35A en t/m 3*50A</v>
      </c>
      <c r="H13" s="619"/>
      <c r="I13" s="619"/>
      <c r="J13" s="642">
        <f t="shared" si="11"/>
        <v>43</v>
      </c>
      <c r="L13" s="618" t="str">
        <f t="shared" si="0"/>
        <v>&gt;3*25A en t/m 3*40A</v>
      </c>
      <c r="M13" s="619"/>
      <c r="N13" s="619"/>
      <c r="O13" s="642">
        <f t="shared" si="1"/>
        <v>0</v>
      </c>
      <c r="Q13" s="618" t="str">
        <f t="shared" si="2"/>
        <v>&gt;3*63A t/m 3*80A</v>
      </c>
      <c r="R13" s="619"/>
      <c r="S13" s="619"/>
      <c r="T13" s="642">
        <f t="shared" si="3"/>
        <v>8</v>
      </c>
      <c r="V13" s="618" t="str">
        <f t="shared" si="4"/>
        <v>&gt;3*80A en t/m 100 kVA af sec zijde trafo</v>
      </c>
      <c r="W13" s="619"/>
      <c r="X13" s="619"/>
      <c r="Y13" s="642">
        <f t="shared" si="5"/>
        <v>227</v>
      </c>
      <c r="AA13" s="618" t="str">
        <f t="shared" si="12"/>
        <v>&gt;3x40A en t/m 3x50A</v>
      </c>
      <c r="AB13" s="619"/>
      <c r="AC13" s="619"/>
      <c r="AD13" s="642">
        <f t="shared" si="13"/>
        <v>6</v>
      </c>
      <c r="AF13" s="618" t="str">
        <f t="shared" si="6"/>
        <v>&gt;3*35A en t/m 3*63A</v>
      </c>
      <c r="AG13" s="619"/>
      <c r="AH13" s="619"/>
      <c r="AI13" s="642">
        <f t="shared" si="7"/>
        <v>1204.8155621241067</v>
      </c>
      <c r="AK13" s="618" t="str">
        <f t="shared" si="14"/>
        <v>&gt;3*1200A en t/m 3*1500A af sec. zijde LS</v>
      </c>
      <c r="AL13" s="619"/>
      <c r="AM13" s="619"/>
      <c r="AN13" s="642">
        <f t="shared" si="15"/>
        <v>1</v>
      </c>
    </row>
    <row r="14" spans="2:40" s="503" customFormat="1" ht="11.25">
      <c r="B14" s="618" t="str">
        <f t="shared" si="8"/>
        <v>&gt;3*50A en t/m 3*63A</v>
      </c>
      <c r="C14" s="619"/>
      <c r="D14" s="619"/>
      <c r="E14" s="642">
        <f t="shared" si="9"/>
        <v>8.679241016142406</v>
      </c>
      <c r="G14" s="618" t="str">
        <f t="shared" si="10"/>
        <v>&gt;3*50A en t/m 3*63A</v>
      </c>
      <c r="H14" s="619"/>
      <c r="I14" s="619"/>
      <c r="J14" s="642">
        <f t="shared" si="11"/>
        <v>24</v>
      </c>
      <c r="L14" s="618" t="str">
        <f t="shared" si="0"/>
        <v>&gt;3*40A en t/m 3*50A</v>
      </c>
      <c r="M14" s="619"/>
      <c r="N14" s="619"/>
      <c r="O14" s="642">
        <f t="shared" si="1"/>
        <v>483.32758620689657</v>
      </c>
      <c r="Q14" s="618" t="str">
        <f t="shared" si="2"/>
        <v>&gt;3*80 A t/m 3*160A</v>
      </c>
      <c r="R14" s="619"/>
      <c r="S14" s="619"/>
      <c r="T14" s="642">
        <f t="shared" si="3"/>
        <v>19</v>
      </c>
      <c r="V14" s="618" t="str">
        <f t="shared" si="4"/>
        <v>&gt;100 kVA en t/m 160 kVA af sec zijde trafo</v>
      </c>
      <c r="W14" s="619"/>
      <c r="X14" s="619"/>
      <c r="Y14" s="642">
        <f t="shared" si="5"/>
        <v>233</v>
      </c>
      <c r="AA14" s="618" t="str">
        <f t="shared" si="12"/>
        <v>&gt;3x50A en t/m 3x63A</v>
      </c>
      <c r="AB14" s="619"/>
      <c r="AC14" s="619"/>
      <c r="AD14" s="642">
        <f t="shared" si="13"/>
        <v>7</v>
      </c>
      <c r="AF14" s="618" t="str">
        <f t="shared" si="6"/>
        <v>&gt; 3*63 A t/m 3*80A</v>
      </c>
      <c r="AG14" s="619"/>
      <c r="AH14" s="619"/>
      <c r="AI14" s="642">
        <f t="shared" si="7"/>
        <v>505.9587437596409</v>
      </c>
      <c r="AK14" s="618" t="str">
        <f t="shared" si="14"/>
        <v>&gt;3*750A en t/m 3*1200A af sec. zijde LS</v>
      </c>
      <c r="AL14" s="619"/>
      <c r="AM14" s="619"/>
      <c r="AN14" s="642">
        <f t="shared" si="15"/>
        <v>4</v>
      </c>
    </row>
    <row r="15" spans="2:40" s="503" customFormat="1" ht="11.25">
      <c r="B15" s="618" t="str">
        <f t="shared" si="8"/>
        <v>&gt;3*63A en t/m 3*80A</v>
      </c>
      <c r="C15" s="619"/>
      <c r="D15" s="619"/>
      <c r="E15" s="642">
        <f t="shared" si="9"/>
        <v>18</v>
      </c>
      <c r="G15" s="618" t="str">
        <f t="shared" si="10"/>
        <v>&gt;3*63A en t/m 3*80A</v>
      </c>
      <c r="H15" s="619"/>
      <c r="I15" s="619"/>
      <c r="J15" s="642">
        <f t="shared" si="11"/>
        <v>55</v>
      </c>
      <c r="L15" s="618" t="str">
        <f t="shared" si="0"/>
        <v>&gt;3*50A en t/m 3*63A</v>
      </c>
      <c r="M15" s="619"/>
      <c r="N15" s="619"/>
      <c r="O15" s="642">
        <f t="shared" si="1"/>
        <v>569.3037572254335</v>
      </c>
      <c r="Q15" s="618" t="str">
        <f t="shared" si="2"/>
        <v>&gt;3*160 A t/m 250 A</v>
      </c>
      <c r="R15" s="619"/>
      <c r="S15" s="619"/>
      <c r="T15" s="642">
        <f t="shared" si="3"/>
        <v>20</v>
      </c>
      <c r="V15" s="618" t="str">
        <f t="shared" si="4"/>
        <v>&gt;160 kVA en t/m 630 kVA met LS meting</v>
      </c>
      <c r="W15" s="619"/>
      <c r="X15" s="619"/>
      <c r="Y15" s="642">
        <f t="shared" si="5"/>
        <v>168</v>
      </c>
      <c r="AA15" s="618" t="str">
        <f t="shared" si="12"/>
        <v>&gt;3x63A en t/m 3x80A</v>
      </c>
      <c r="AB15" s="619"/>
      <c r="AC15" s="619"/>
      <c r="AD15" s="642">
        <f t="shared" si="13"/>
        <v>23</v>
      </c>
      <c r="AF15" s="618" t="str">
        <f t="shared" si="6"/>
        <v>&gt;3*80A t/m 3*125 A</v>
      </c>
      <c r="AG15" s="619"/>
      <c r="AH15" s="619"/>
      <c r="AI15" s="642">
        <f t="shared" si="7"/>
        <v>214.90232171740746</v>
      </c>
      <c r="AK15" s="618" t="str">
        <f t="shared" si="14"/>
        <v>&gt;3*500A en t/m 3*750A af sec. zijde LS</v>
      </c>
      <c r="AL15" s="619"/>
      <c r="AM15" s="619"/>
      <c r="AN15" s="642">
        <f t="shared" si="15"/>
        <v>3</v>
      </c>
    </row>
    <row r="16" spans="2:40" s="503" customFormat="1" ht="11.25">
      <c r="B16" s="618" t="str">
        <f t="shared" si="8"/>
        <v>&gt;3*80A en t/m 3*100A af sec. zijde LS-transformator</v>
      </c>
      <c r="C16" s="619"/>
      <c r="D16" s="619"/>
      <c r="E16" s="642">
        <f t="shared" si="9"/>
        <v>0</v>
      </c>
      <c r="G16" s="618" t="str">
        <f t="shared" si="10"/>
        <v>&gt;50 kW en t/m 0,2 MW af sec. zijde LS</v>
      </c>
      <c r="H16" s="619"/>
      <c r="I16" s="619"/>
      <c r="J16" s="642">
        <f t="shared" si="11"/>
        <v>39</v>
      </c>
      <c r="L16" s="618" t="str">
        <f t="shared" si="0"/>
        <v>&gt;3*63A en t/m 3*80A</v>
      </c>
      <c r="M16" s="619"/>
      <c r="N16" s="619"/>
      <c r="O16" s="642">
        <f t="shared" si="1"/>
        <v>793.1035606936416</v>
      </c>
      <c r="Q16" s="618" t="str">
        <f t="shared" si="2"/>
        <v>&gt;110 kVA t/m 630 kVA</v>
      </c>
      <c r="R16" s="619"/>
      <c r="S16" s="619"/>
      <c r="T16" s="642">
        <f t="shared" si="3"/>
        <v>16</v>
      </c>
      <c r="V16" s="618" t="str">
        <f t="shared" si="4"/>
        <v>&gt;630 kVA en t/m 1000 kVA met LS meting</v>
      </c>
      <c r="W16" s="619"/>
      <c r="X16" s="619"/>
      <c r="Y16" s="642">
        <f t="shared" si="5"/>
        <v>27</v>
      </c>
      <c r="AA16" s="618" t="str">
        <f t="shared" si="12"/>
        <v>&gt;3x80A en t/m 3x100A </v>
      </c>
      <c r="AB16" s="619"/>
      <c r="AC16" s="619"/>
      <c r="AD16" s="642">
        <f t="shared" si="13"/>
        <v>0</v>
      </c>
      <c r="AF16" s="618" t="str">
        <f t="shared" si="6"/>
        <v>&gt;3*125 Amp t/m 175 kVA</v>
      </c>
      <c r="AG16" s="619"/>
      <c r="AH16" s="619"/>
      <c r="AI16" s="642">
        <f t="shared" si="7"/>
        <v>540.512992291005</v>
      </c>
      <c r="AK16" s="618" t="str">
        <f t="shared" si="14"/>
        <v>&gt;3*480A en t/m 3*500A af sec. zijde LS</v>
      </c>
      <c r="AL16" s="619"/>
      <c r="AM16" s="619"/>
      <c r="AN16" s="642">
        <f t="shared" si="15"/>
        <v>1</v>
      </c>
    </row>
    <row r="17" spans="2:40" s="503" customFormat="1" ht="11.25">
      <c r="B17" s="618" t="str">
        <f t="shared" si="8"/>
        <v>&gt;3*100A en t/m 3*125A af sec.zijde LS-transformator</v>
      </c>
      <c r="C17" s="619"/>
      <c r="D17" s="619"/>
      <c r="E17" s="642">
        <f t="shared" si="9"/>
        <v>3</v>
      </c>
      <c r="G17" s="618" t="str">
        <f t="shared" si="10"/>
        <v>&gt;0,2 MW en t/m 0.6 MW, LS meting</v>
      </c>
      <c r="H17" s="619"/>
      <c r="I17" s="619"/>
      <c r="J17" s="642">
        <f t="shared" si="11"/>
        <v>10</v>
      </c>
      <c r="L17" s="618" t="str">
        <f t="shared" si="0"/>
        <v>&gt;3*80A en t/m 3*160A</v>
      </c>
      <c r="M17" s="619"/>
      <c r="N17" s="619"/>
      <c r="O17" s="642">
        <f t="shared" si="1"/>
        <v>478.10954545454547</v>
      </c>
      <c r="Q17" s="618" t="str">
        <f t="shared" si="2"/>
        <v>&gt;630 kVA t/m &lt;1 MVA</v>
      </c>
      <c r="R17" s="619"/>
      <c r="S17" s="619"/>
      <c r="T17" s="642">
        <f t="shared" si="3"/>
        <v>1</v>
      </c>
      <c r="V17" s="618" t="str">
        <f t="shared" si="4"/>
        <v>&gt;1000 kVA en t/m 2 MVA </v>
      </c>
      <c r="W17" s="619"/>
      <c r="X17" s="619"/>
      <c r="Y17" s="642">
        <f t="shared" si="5"/>
        <v>41</v>
      </c>
      <c r="AA17" s="618" t="str">
        <f t="shared" si="12"/>
        <v>&gt;3x100A en t/m 3x125A </v>
      </c>
      <c r="AB17" s="619"/>
      <c r="AC17" s="619"/>
      <c r="AD17" s="642">
        <f t="shared" si="13"/>
        <v>2</v>
      </c>
      <c r="AF17" s="618" t="str">
        <f t="shared" si="6"/>
        <v>&gt; 175kVA t/m 630kVA</v>
      </c>
      <c r="AG17" s="619"/>
      <c r="AH17" s="619"/>
      <c r="AI17" s="642">
        <f t="shared" si="7"/>
        <v>146.91823119806622</v>
      </c>
      <c r="AK17" s="618" t="str">
        <f t="shared" si="14"/>
        <v>&gt;3*400A en t/m 3*480A af sec. zijde LS</v>
      </c>
      <c r="AL17" s="619"/>
      <c r="AM17" s="619"/>
      <c r="AN17" s="642">
        <f t="shared" si="15"/>
        <v>2</v>
      </c>
    </row>
    <row r="18" spans="2:40" s="503" customFormat="1" ht="11.25">
      <c r="B18" s="618" t="str">
        <f t="shared" si="8"/>
        <v>&gt;3*125A en t/m 3*160A af sec.zijde LS-transformator</v>
      </c>
      <c r="C18" s="619"/>
      <c r="D18" s="619"/>
      <c r="E18" s="642">
        <f t="shared" si="9"/>
        <v>1</v>
      </c>
      <c r="G18" s="618" t="str">
        <f t="shared" si="10"/>
        <v>&gt;0,6 MW en t/m 2.0 MW, MS meting</v>
      </c>
      <c r="H18" s="619"/>
      <c r="I18" s="619"/>
      <c r="J18" s="642">
        <f t="shared" si="11"/>
        <v>9</v>
      </c>
      <c r="L18" s="618" t="str">
        <f t="shared" si="0"/>
        <v>&gt;3*160A  t/m 3*250A</v>
      </c>
      <c r="M18" s="619"/>
      <c r="N18" s="619"/>
      <c r="O18" s="642">
        <f t="shared" si="1"/>
        <v>392.2620862068966</v>
      </c>
      <c r="Q18" s="618" t="str">
        <f t="shared" si="2"/>
        <v>&gt;1 MVA t/m 2 MVA</v>
      </c>
      <c r="R18" s="619"/>
      <c r="S18" s="619"/>
      <c r="T18" s="642">
        <f t="shared" si="3"/>
        <v>0</v>
      </c>
      <c r="V18" s="618" t="str">
        <f t="shared" si="4"/>
        <v>&gt;2 MVA en t/m 5,0 MVA</v>
      </c>
      <c r="W18" s="619"/>
      <c r="X18" s="619"/>
      <c r="Y18" s="642">
        <f t="shared" si="5"/>
        <v>8</v>
      </c>
      <c r="AA18" s="618" t="str">
        <f t="shared" si="12"/>
        <v>&gt;3x125A en t/m 3x160A </v>
      </c>
      <c r="AB18" s="619"/>
      <c r="AC18" s="619"/>
      <c r="AD18" s="642">
        <f t="shared" si="13"/>
        <v>3</v>
      </c>
      <c r="AF18" s="618" t="str">
        <f t="shared" si="6"/>
        <v>&gt; 630kVA t/m 1.000kVA</v>
      </c>
      <c r="AG18" s="619"/>
      <c r="AH18" s="619"/>
      <c r="AI18" s="642">
        <f t="shared" si="7"/>
        <v>24.438653178609485</v>
      </c>
      <c r="AK18" s="618" t="str">
        <f t="shared" si="14"/>
        <v>&gt;3*250A en t/m 3*400A af sec. zijde LS</v>
      </c>
      <c r="AL18" s="619"/>
      <c r="AM18" s="619"/>
      <c r="AN18" s="642">
        <f t="shared" si="15"/>
        <v>9</v>
      </c>
    </row>
    <row r="19" spans="2:40" s="503" customFormat="1" ht="11.25">
      <c r="B19" s="618" t="str">
        <f t="shared" si="8"/>
        <v>&gt;3*160A en t/m 3*200A af sec.zijde LS-transformator</v>
      </c>
      <c r="C19" s="619"/>
      <c r="D19" s="619"/>
      <c r="E19" s="642">
        <f t="shared" si="9"/>
        <v>3.998934134863916</v>
      </c>
      <c r="G19" s="618" t="str">
        <f t="shared" si="10"/>
        <v>&gt;2,0 MVA en t/m 5 MVA</v>
      </c>
      <c r="H19" s="619"/>
      <c r="I19" s="619"/>
      <c r="J19" s="642">
        <f t="shared" si="11"/>
        <v>0</v>
      </c>
      <c r="L19" s="618" t="str">
        <f t="shared" si="0"/>
        <v>&gt;3*250A (173 kVA) t/m 630 kVA</v>
      </c>
      <c r="M19" s="619"/>
      <c r="N19" s="619"/>
      <c r="O19" s="642">
        <f t="shared" si="1"/>
        <v>402.6470533270411</v>
      </c>
      <c r="Q19" s="618" t="str">
        <f t="shared" si="2"/>
        <v>&gt;2 MVA t/m 5,0 MVA</v>
      </c>
      <c r="R19" s="619"/>
      <c r="S19" s="619"/>
      <c r="T19" s="642">
        <f t="shared" si="3"/>
        <v>0</v>
      </c>
      <c r="V19" s="618" t="str">
        <f t="shared" si="4"/>
        <v>&gt;5 MVA en t/m 10,0 MVA</v>
      </c>
      <c r="W19" s="619"/>
      <c r="X19" s="619"/>
      <c r="Y19" s="642">
        <f t="shared" si="5"/>
        <v>9</v>
      </c>
      <c r="AA19" s="618" t="str">
        <f t="shared" si="12"/>
        <v>&gt;3x160A en t/m 3x200A </v>
      </c>
      <c r="AB19" s="619"/>
      <c r="AC19" s="619"/>
      <c r="AD19" s="642">
        <f t="shared" si="13"/>
        <v>2</v>
      </c>
      <c r="AF19" s="618" t="str">
        <f t="shared" si="6"/>
        <v>&gt; 1.000kVA t/m 1.750kVA</v>
      </c>
      <c r="AG19" s="619"/>
      <c r="AH19" s="619"/>
      <c r="AI19" s="642">
        <f t="shared" si="7"/>
        <v>67.49646248423038</v>
      </c>
      <c r="AK19" s="618" t="str">
        <f t="shared" si="14"/>
        <v>&gt;3*200A en t/m 3*250A af sec. zijde LS</v>
      </c>
      <c r="AL19" s="619"/>
      <c r="AM19" s="619"/>
      <c r="AN19" s="642">
        <f t="shared" si="15"/>
        <v>5</v>
      </c>
    </row>
    <row r="20" spans="2:40" s="503" customFormat="1" ht="11.25">
      <c r="B20" s="618" t="str">
        <f t="shared" si="8"/>
        <v>&gt;3*200A en t/m 3*225A af sec.zijde LS-transformator</v>
      </c>
      <c r="C20" s="619"/>
      <c r="D20" s="619"/>
      <c r="E20" s="642">
        <f t="shared" si="9"/>
        <v>7</v>
      </c>
      <c r="G20" s="618" t="str">
        <f t="shared" si="10"/>
        <v>&gt;5,0 MVA en t/m 10 MVA</v>
      </c>
      <c r="H20" s="619"/>
      <c r="I20" s="619"/>
      <c r="J20" s="642">
        <f t="shared" si="11"/>
        <v>2</v>
      </c>
      <c r="L20" s="618" t="str">
        <f t="shared" si="0"/>
        <v>&gt; 630 kVA t/m 1750 kVA</v>
      </c>
      <c r="M20" s="619"/>
      <c r="N20" s="619"/>
      <c r="O20" s="642">
        <f t="shared" si="1"/>
        <v>200.00846023688663</v>
      </c>
      <c r="Q20" s="618" t="str">
        <f t="shared" si="2"/>
        <v>&gt;5,0 MVA t/m 10 MVA</v>
      </c>
      <c r="R20" s="619"/>
      <c r="S20" s="619"/>
      <c r="T20" s="642">
        <f t="shared" si="3"/>
        <v>0</v>
      </c>
      <c r="V20" s="618" t="str">
        <f t="shared" si="4"/>
        <v>t/m 1 x 6A op geschakeld net</v>
      </c>
      <c r="W20" s="619"/>
      <c r="X20" s="619"/>
      <c r="Y20" s="642">
        <f t="shared" si="5"/>
        <v>10610</v>
      </c>
      <c r="AA20" s="618" t="str">
        <f t="shared" si="12"/>
        <v>&gt;3x200A en t/m 3x225A </v>
      </c>
      <c r="AB20" s="619"/>
      <c r="AC20" s="619"/>
      <c r="AD20" s="642">
        <f t="shared" si="13"/>
        <v>1</v>
      </c>
      <c r="AF20" s="618" t="str">
        <f t="shared" si="6"/>
        <v>&gt; 1.750kVA t/m 3.000kVA</v>
      </c>
      <c r="AG20" s="619"/>
      <c r="AH20" s="619"/>
      <c r="AI20" s="642">
        <f t="shared" si="7"/>
        <v>10.260462157208451</v>
      </c>
      <c r="AK20" s="618" t="str">
        <f t="shared" si="14"/>
        <v>&gt;3*80A en t/m 3*200A af sec. zijde LS</v>
      </c>
      <c r="AL20" s="619"/>
      <c r="AM20" s="619"/>
      <c r="AN20" s="642">
        <f t="shared" si="15"/>
        <v>20</v>
      </c>
    </row>
    <row r="21" spans="2:40" s="503" customFormat="1" ht="11.25">
      <c r="B21" s="618" t="str">
        <f t="shared" si="8"/>
        <v>&gt;0,15 MVA en t/m 0,63 MVA MS met  LS meting</v>
      </c>
      <c r="C21" s="619"/>
      <c r="D21" s="619"/>
      <c r="E21" s="642">
        <f t="shared" si="9"/>
        <v>2</v>
      </c>
      <c r="G21" s="620"/>
      <c r="H21" s="621"/>
      <c r="I21" s="621"/>
      <c r="J21" s="643"/>
      <c r="L21" s="618" t="str">
        <f t="shared" si="0"/>
        <v>&gt; 1750 kVA t/m 6 MVA</v>
      </c>
      <c r="M21" s="619"/>
      <c r="N21" s="619"/>
      <c r="O21" s="642">
        <f t="shared" si="1"/>
        <v>14.200906447170354</v>
      </c>
      <c r="Q21" s="620"/>
      <c r="R21" s="621"/>
      <c r="S21" s="621"/>
      <c r="T21" s="643"/>
      <c r="U21" s="622"/>
      <c r="V21" s="620"/>
      <c r="W21" s="621"/>
      <c r="X21" s="621"/>
      <c r="Y21" s="643"/>
      <c r="AA21" s="618" t="str">
        <f t="shared" si="12"/>
        <v>&gt;0,15 t/m 0.63 MVA met LS meting</v>
      </c>
      <c r="AB21" s="619"/>
      <c r="AC21" s="619"/>
      <c r="AD21" s="642">
        <f t="shared" si="13"/>
        <v>1</v>
      </c>
      <c r="AF21" s="618" t="str">
        <f t="shared" si="6"/>
        <v>&gt; 3.000kVA t/m 10.000kVA</v>
      </c>
      <c r="AG21" s="619"/>
      <c r="AH21" s="619"/>
      <c r="AI21" s="642">
        <f t="shared" si="7"/>
        <v>17.96882107982351</v>
      </c>
      <c r="AK21" s="618" t="str">
        <f t="shared" si="14"/>
        <v>&gt;3*63A en t/m 3*80A</v>
      </c>
      <c r="AL21" s="619"/>
      <c r="AM21" s="619"/>
      <c r="AN21" s="642">
        <f t="shared" si="15"/>
        <v>24</v>
      </c>
    </row>
    <row r="22" spans="2:40" s="503" customFormat="1" ht="11.25">
      <c r="B22" s="618" t="str">
        <f t="shared" si="8"/>
        <v>&gt;0,63 MVA en t/m 1,2 MVA MS met LS meting</v>
      </c>
      <c r="C22" s="619"/>
      <c r="D22" s="619"/>
      <c r="E22" s="642">
        <f t="shared" si="9"/>
        <v>0</v>
      </c>
      <c r="G22" s="620"/>
      <c r="H22" s="621"/>
      <c r="I22" s="621"/>
      <c r="J22" s="643"/>
      <c r="L22" s="618" t="str">
        <f t="shared" si="0"/>
        <v>&gt;6,0 MVA en t/m 10 MVA</v>
      </c>
      <c r="M22" s="619"/>
      <c r="N22" s="619"/>
      <c r="O22" s="642">
        <f t="shared" si="1"/>
        <v>3.68823178139736</v>
      </c>
      <c r="Q22" s="620"/>
      <c r="R22" s="621"/>
      <c r="S22" s="621"/>
      <c r="T22" s="643"/>
      <c r="U22" s="622"/>
      <c r="V22" s="620"/>
      <c r="W22" s="621"/>
      <c r="X22" s="621"/>
      <c r="Y22" s="643"/>
      <c r="AA22" s="618" t="str">
        <f t="shared" si="12"/>
        <v>&gt; 0.63 MVA t/m 1.2 MVA met LS meting </v>
      </c>
      <c r="AB22" s="619"/>
      <c r="AC22" s="619"/>
      <c r="AD22" s="642">
        <f t="shared" si="13"/>
        <v>0</v>
      </c>
      <c r="AF22" s="620"/>
      <c r="AG22" s="621"/>
      <c r="AH22" s="621"/>
      <c r="AI22" s="643"/>
      <c r="AK22" s="618" t="str">
        <f t="shared" si="14"/>
        <v>&gt;3*50A en t/m 3*63A</v>
      </c>
      <c r="AL22" s="619"/>
      <c r="AM22" s="619"/>
      <c r="AN22" s="642">
        <f t="shared" si="15"/>
        <v>12</v>
      </c>
    </row>
    <row r="23" spans="2:40" s="503" customFormat="1" ht="11.25">
      <c r="B23" s="618" t="str">
        <f t="shared" si="8"/>
        <v>&gt;1,2 MVA en t/m 1,8 MVA MS met  MS meting</v>
      </c>
      <c r="C23" s="619"/>
      <c r="D23" s="619"/>
      <c r="E23" s="642">
        <f t="shared" si="9"/>
        <v>0</v>
      </c>
      <c r="G23" s="620"/>
      <c r="H23" s="621"/>
      <c r="I23" s="621"/>
      <c r="J23" s="643"/>
      <c r="L23" s="620"/>
      <c r="M23" s="621"/>
      <c r="N23" s="621"/>
      <c r="O23" s="643"/>
      <c r="Q23" s="620"/>
      <c r="R23" s="621"/>
      <c r="S23" s="621"/>
      <c r="T23" s="643"/>
      <c r="U23" s="622"/>
      <c r="V23" s="620"/>
      <c r="W23" s="621"/>
      <c r="X23" s="621"/>
      <c r="Y23" s="643"/>
      <c r="AA23" s="618" t="str">
        <f t="shared" si="12"/>
        <v>&gt; 1.2 MVA t/m 2 MVA met MS meting</v>
      </c>
      <c r="AB23" s="619"/>
      <c r="AC23" s="619"/>
      <c r="AD23" s="642">
        <f t="shared" si="13"/>
        <v>0</v>
      </c>
      <c r="AF23" s="620"/>
      <c r="AG23" s="621"/>
      <c r="AH23" s="621"/>
      <c r="AI23" s="643"/>
      <c r="AK23" s="618" t="str">
        <f t="shared" si="14"/>
        <v>&gt;3*35A en t/m 3*50A</v>
      </c>
      <c r="AL23" s="619"/>
      <c r="AM23" s="619"/>
      <c r="AN23" s="642">
        <f t="shared" si="15"/>
        <v>9</v>
      </c>
    </row>
    <row r="24" spans="2:40" s="503" customFormat="1" ht="11.25">
      <c r="B24" s="618" t="str">
        <f t="shared" si="8"/>
        <v>&gt;1,8 MVA en t/m 2,4 MVA MS met  MS meting</v>
      </c>
      <c r="C24" s="619"/>
      <c r="D24" s="619"/>
      <c r="E24" s="642">
        <f t="shared" si="9"/>
        <v>0</v>
      </c>
      <c r="G24" s="620"/>
      <c r="H24" s="621"/>
      <c r="I24" s="621"/>
      <c r="J24" s="643"/>
      <c r="L24" s="620"/>
      <c r="M24" s="621"/>
      <c r="N24" s="621"/>
      <c r="O24" s="643"/>
      <c r="Q24" s="620"/>
      <c r="R24" s="621"/>
      <c r="S24" s="621"/>
      <c r="T24" s="643"/>
      <c r="U24" s="622"/>
      <c r="V24" s="620"/>
      <c r="W24" s="621"/>
      <c r="X24" s="621"/>
      <c r="Y24" s="643"/>
      <c r="AA24" s="618" t="str">
        <f t="shared" si="12"/>
        <v>&gt; 2 MVA t/m 5 MVA met MS meting</v>
      </c>
      <c r="AB24" s="619"/>
      <c r="AC24" s="619"/>
      <c r="AD24" s="642">
        <f t="shared" si="13"/>
        <v>0</v>
      </c>
      <c r="AF24" s="620"/>
      <c r="AG24" s="621"/>
      <c r="AH24" s="621"/>
      <c r="AI24" s="643"/>
      <c r="AK24" s="618" t="str">
        <f t="shared" si="14"/>
        <v>&gt;3*25A en t/m 3*35A</v>
      </c>
      <c r="AL24" s="619"/>
      <c r="AM24" s="619"/>
      <c r="AN24" s="642">
        <f t="shared" si="15"/>
        <v>68</v>
      </c>
    </row>
    <row r="25" spans="2:40" s="503" customFormat="1" ht="11.25">
      <c r="B25" s="618" t="str">
        <f t="shared" si="8"/>
        <v>&gt;2,4 MVA en t/m 3,0 MVA MS met  MS meting</v>
      </c>
      <c r="C25" s="619"/>
      <c r="D25" s="619"/>
      <c r="E25" s="642">
        <f t="shared" si="9"/>
        <v>0</v>
      </c>
      <c r="G25" s="620"/>
      <c r="H25" s="621"/>
      <c r="I25" s="621"/>
      <c r="J25" s="643"/>
      <c r="L25" s="620"/>
      <c r="M25" s="621"/>
      <c r="N25" s="621"/>
      <c r="O25" s="643"/>
      <c r="Q25" s="620"/>
      <c r="R25" s="621"/>
      <c r="S25" s="621"/>
      <c r="T25" s="643"/>
      <c r="U25" s="622"/>
      <c r="V25" s="620"/>
      <c r="W25" s="621"/>
      <c r="X25" s="621"/>
      <c r="Y25" s="643"/>
      <c r="AA25" s="618" t="str">
        <f t="shared" si="12"/>
        <v>&gt; 5 MVA tot 10 MVA met MS meting</v>
      </c>
      <c r="AB25" s="619"/>
      <c r="AC25" s="619"/>
      <c r="AD25" s="642">
        <f t="shared" si="13"/>
        <v>0</v>
      </c>
      <c r="AF25" s="620"/>
      <c r="AG25" s="621"/>
      <c r="AH25" s="621"/>
      <c r="AI25" s="643"/>
      <c r="AK25" s="618" t="str">
        <f t="shared" si="14"/>
        <v>t/m 3*25A</v>
      </c>
      <c r="AL25" s="619"/>
      <c r="AM25" s="619"/>
      <c r="AN25" s="642">
        <f t="shared" si="15"/>
        <v>972</v>
      </c>
    </row>
    <row r="26" spans="2:40" ht="12.75">
      <c r="B26" s="614"/>
      <c r="C26" s="386"/>
      <c r="D26" s="386"/>
      <c r="E26" s="641"/>
      <c r="G26" s="614"/>
      <c r="H26" s="386"/>
      <c r="I26" s="386"/>
      <c r="J26" s="641"/>
      <c r="L26" s="614"/>
      <c r="M26" s="386"/>
      <c r="N26" s="386"/>
      <c r="O26" s="641"/>
      <c r="Q26" s="614"/>
      <c r="R26" s="386"/>
      <c r="S26" s="386"/>
      <c r="T26" s="641"/>
      <c r="V26" s="614"/>
      <c r="W26" s="386"/>
      <c r="X26" s="386"/>
      <c r="Y26" s="641"/>
      <c r="AA26" s="614"/>
      <c r="AB26" s="386"/>
      <c r="AC26" s="386"/>
      <c r="AD26" s="641"/>
      <c r="AF26" s="614"/>
      <c r="AG26" s="386"/>
      <c r="AH26" s="386"/>
      <c r="AI26" s="641"/>
      <c r="AK26" s="618" t="str">
        <f t="shared" si="14"/>
        <v>1*6A geschakeld net</v>
      </c>
      <c r="AL26" s="619"/>
      <c r="AM26" s="619"/>
      <c r="AN26" s="642">
        <f t="shared" si="15"/>
        <v>456</v>
      </c>
    </row>
    <row r="27" spans="2:40" ht="12.75">
      <c r="B27" s="614"/>
      <c r="C27" s="386"/>
      <c r="D27" s="386"/>
      <c r="E27" s="641"/>
      <c r="G27" s="614"/>
      <c r="H27" s="386"/>
      <c r="I27" s="386"/>
      <c r="J27" s="641"/>
      <c r="L27" s="614"/>
      <c r="M27" s="386"/>
      <c r="N27" s="386"/>
      <c r="O27" s="641"/>
      <c r="Q27" s="614"/>
      <c r="R27" s="386"/>
      <c r="S27" s="386"/>
      <c r="T27" s="641"/>
      <c r="V27" s="614"/>
      <c r="W27" s="386"/>
      <c r="X27" s="386"/>
      <c r="Y27" s="641"/>
      <c r="AA27" s="614"/>
      <c r="AB27" s="386"/>
      <c r="AC27" s="386"/>
      <c r="AD27" s="641"/>
      <c r="AF27" s="614"/>
      <c r="AG27" s="386"/>
      <c r="AH27" s="386"/>
      <c r="AI27" s="641"/>
      <c r="AK27" s="614"/>
      <c r="AL27" s="386"/>
      <c r="AM27" s="386"/>
      <c r="AN27" s="641"/>
    </row>
    <row r="28" spans="2:40" ht="12.75">
      <c r="B28" s="614"/>
      <c r="C28" s="386"/>
      <c r="D28" s="386"/>
      <c r="E28" s="641"/>
      <c r="G28" s="614"/>
      <c r="H28" s="386"/>
      <c r="I28" s="386"/>
      <c r="J28" s="641"/>
      <c r="L28" s="614"/>
      <c r="M28" s="386"/>
      <c r="N28" s="386"/>
      <c r="O28" s="641"/>
      <c r="Q28" s="614"/>
      <c r="R28" s="386"/>
      <c r="S28" s="386"/>
      <c r="T28" s="641"/>
      <c r="V28" s="614"/>
      <c r="W28" s="386"/>
      <c r="X28" s="386"/>
      <c r="Y28" s="641"/>
      <c r="AA28" s="614"/>
      <c r="AB28" s="386"/>
      <c r="AC28" s="386"/>
      <c r="AD28" s="641"/>
      <c r="AF28" s="614"/>
      <c r="AG28" s="386"/>
      <c r="AH28" s="386"/>
      <c r="AI28" s="641"/>
      <c r="AK28" s="614"/>
      <c r="AL28" s="386"/>
      <c r="AM28" s="386"/>
      <c r="AN28" s="641"/>
    </row>
    <row r="29" spans="2:40" ht="12.75">
      <c r="B29" s="615" t="s">
        <v>491</v>
      </c>
      <c r="C29" s="386"/>
      <c r="D29" s="386"/>
      <c r="E29" s="641"/>
      <c r="G29" s="615" t="s">
        <v>491</v>
      </c>
      <c r="H29" s="386"/>
      <c r="I29" s="386"/>
      <c r="J29" s="641"/>
      <c r="L29" s="615" t="s">
        <v>491</v>
      </c>
      <c r="M29" s="386"/>
      <c r="N29" s="386"/>
      <c r="O29" s="641"/>
      <c r="Q29" s="615" t="s">
        <v>491</v>
      </c>
      <c r="R29" s="386"/>
      <c r="S29" s="386"/>
      <c r="T29" s="641"/>
      <c r="V29" s="615" t="s">
        <v>491</v>
      </c>
      <c r="W29" s="386"/>
      <c r="X29" s="386"/>
      <c r="Y29" s="641"/>
      <c r="AA29" s="615" t="s">
        <v>491</v>
      </c>
      <c r="AB29" s="386"/>
      <c r="AC29" s="386"/>
      <c r="AD29" s="641"/>
      <c r="AF29" s="615" t="s">
        <v>491</v>
      </c>
      <c r="AG29" s="386"/>
      <c r="AH29" s="386"/>
      <c r="AI29" s="641"/>
      <c r="AK29" s="615" t="s">
        <v>491</v>
      </c>
      <c r="AL29" s="386"/>
      <c r="AM29" s="386"/>
      <c r="AN29" s="641"/>
    </row>
    <row r="30" spans="2:40" ht="12.75">
      <c r="B30" s="614"/>
      <c r="C30" s="386"/>
      <c r="D30" s="386"/>
      <c r="E30" s="641"/>
      <c r="G30" s="614"/>
      <c r="H30" s="386"/>
      <c r="I30" s="386"/>
      <c r="J30" s="641"/>
      <c r="L30" s="614"/>
      <c r="M30" s="386"/>
      <c r="N30" s="386"/>
      <c r="O30" s="641"/>
      <c r="Q30" s="614"/>
      <c r="R30" s="386"/>
      <c r="S30" s="386"/>
      <c r="T30" s="641"/>
      <c r="V30" s="614"/>
      <c r="W30" s="386"/>
      <c r="X30" s="386"/>
      <c r="Y30" s="641"/>
      <c r="AA30" s="614"/>
      <c r="AB30" s="386"/>
      <c r="AC30" s="386"/>
      <c r="AD30" s="641"/>
      <c r="AF30" s="614"/>
      <c r="AG30" s="386"/>
      <c r="AH30" s="386"/>
      <c r="AI30" s="641"/>
      <c r="AK30" s="614"/>
      <c r="AL30" s="386"/>
      <c r="AM30" s="386"/>
      <c r="AN30" s="641"/>
    </row>
    <row r="31" spans="2:40" s="503" customFormat="1" ht="11.25">
      <c r="B31" s="618" t="str">
        <f>B98</f>
        <v>0 t/m 1*6A  (OV)</v>
      </c>
      <c r="C31" s="619"/>
      <c r="D31" s="619"/>
      <c r="E31" s="642">
        <f>E98</f>
        <v>704.6697121973505</v>
      </c>
      <c r="G31" s="618" t="str">
        <f>G98</f>
        <v>t/m 1*6 A  geschakeld net </v>
      </c>
      <c r="H31" s="619"/>
      <c r="I31" s="619"/>
      <c r="J31" s="642">
        <f>J98</f>
        <v>680</v>
      </c>
      <c r="L31" s="618" t="str">
        <f aca="true" t="shared" si="16" ref="L31:L43">L99</f>
        <v>t/m 1*6 A op geschakeld net</v>
      </c>
      <c r="M31" s="619"/>
      <c r="N31" s="619"/>
      <c r="O31" s="642">
        <f aca="true" t="shared" si="17" ref="O31:O43">O99</f>
        <v>44844.573333333334</v>
      </c>
      <c r="Q31" s="618" t="str">
        <f aca="true" t="shared" si="18" ref="Q31:Q41">Q98</f>
        <v>0 t/m 1*6 A aansluting op geschakeld net</v>
      </c>
      <c r="R31" s="619"/>
      <c r="S31" s="619"/>
      <c r="T31" s="642">
        <f aca="true" t="shared" si="19" ref="T31:T41">T98</f>
        <v>0</v>
      </c>
      <c r="V31" s="618" t="str">
        <f aca="true" t="shared" si="20" ref="V31:V41">V98</f>
        <v>t/m 3*25A</v>
      </c>
      <c r="W31" s="619"/>
      <c r="X31" s="619"/>
      <c r="Y31" s="642">
        <f aca="true" t="shared" si="21" ref="Y31:Y41">Y98</f>
        <v>34778</v>
      </c>
      <c r="AA31" s="618" t="str">
        <f>AA98</f>
        <v>0 t/m 1x6A LS geschakeld</v>
      </c>
      <c r="AB31" s="619"/>
      <c r="AC31" s="619"/>
      <c r="AD31" s="642">
        <f>AD98</f>
        <v>261</v>
      </c>
      <c r="AF31" s="618" t="str">
        <f aca="true" t="shared" si="22" ref="AF31:AF42">AF98</f>
        <v>1*6 A op geschakeld net</v>
      </c>
      <c r="AG31" s="619"/>
      <c r="AH31" s="619"/>
      <c r="AI31" s="642">
        <f aca="true" t="shared" si="23" ref="AI31:AI42">AI98</f>
        <v>9172.688645745211</v>
      </c>
      <c r="AK31" s="618" t="str">
        <f>AK98</f>
        <v>&gt;2,4 MVA en t/m 10 MVA</v>
      </c>
      <c r="AL31" s="619"/>
      <c r="AM31" s="619"/>
      <c r="AN31" s="642">
        <f>AN98</f>
        <v>0</v>
      </c>
    </row>
    <row r="32" spans="2:40" s="503" customFormat="1" ht="11.25">
      <c r="B32" s="618" t="str">
        <f aca="true" t="shared" si="24" ref="B32:B46">B99</f>
        <v>&gt; 1*6A  en t/m 3*25A</v>
      </c>
      <c r="C32" s="619"/>
      <c r="D32" s="619"/>
      <c r="E32" s="642">
        <f aca="true" t="shared" si="25" ref="E32:E46">E99</f>
        <v>256.8350019581515</v>
      </c>
      <c r="G32" s="618" t="str">
        <f aca="true" t="shared" si="26" ref="G32:G41">G99</f>
        <v>&gt; 1*6A en t/m 3*25A</v>
      </c>
      <c r="H32" s="619"/>
      <c r="I32" s="619"/>
      <c r="J32" s="642">
        <f aca="true" t="shared" si="27" ref="J32:J41">J99</f>
        <v>7147</v>
      </c>
      <c r="L32" s="618" t="str">
        <f t="shared" si="16"/>
        <v>t/m 1*40A </v>
      </c>
      <c r="M32" s="619"/>
      <c r="N32" s="619"/>
      <c r="O32" s="642">
        <f t="shared" si="17"/>
        <v>90185.23529411765</v>
      </c>
      <c r="Q32" s="618" t="str">
        <f t="shared" si="18"/>
        <v>&gt; 1*6A t/m 3*25A</v>
      </c>
      <c r="R32" s="619"/>
      <c r="S32" s="619"/>
      <c r="T32" s="642">
        <f t="shared" si="19"/>
        <v>600</v>
      </c>
      <c r="V32" s="618" t="str">
        <f t="shared" si="20"/>
        <v>&gt;3*25A en t/m 3*50A</v>
      </c>
      <c r="W32" s="619"/>
      <c r="X32" s="619"/>
      <c r="Y32" s="642">
        <f t="shared" si="21"/>
        <v>20149</v>
      </c>
      <c r="AA32" s="618" t="str">
        <f aca="true" t="shared" si="28" ref="AA32:AA46">AA99</f>
        <v>0 t/m 3x25A en 1x40A</v>
      </c>
      <c r="AB32" s="619"/>
      <c r="AC32" s="619"/>
      <c r="AD32" s="642">
        <f aca="true" t="shared" si="29" ref="AD32:AD46">AD99</f>
        <v>583</v>
      </c>
      <c r="AF32" s="618" t="str">
        <f t="shared" si="22"/>
        <v>&gt;1*6A t/m 3*25A</v>
      </c>
      <c r="AG32" s="619"/>
      <c r="AH32" s="619"/>
      <c r="AI32" s="642">
        <f t="shared" si="23"/>
        <v>32266.73986069841</v>
      </c>
      <c r="AK32" s="618" t="str">
        <f aca="true" t="shared" si="30" ref="AK32:AK47">AK99</f>
        <v>&gt;= 1MW en t/m 2,4 MVA</v>
      </c>
      <c r="AL32" s="619"/>
      <c r="AM32" s="619"/>
      <c r="AN32" s="642">
        <f aca="true" t="shared" si="31" ref="AN32:AN47">AN99</f>
        <v>901.277411344766</v>
      </c>
    </row>
    <row r="33" spans="2:40" s="503" customFormat="1" ht="11.25">
      <c r="B33" s="618" t="str">
        <f t="shared" si="24"/>
        <v>&gt;3*25A en t/m 3*35A</v>
      </c>
      <c r="C33" s="619"/>
      <c r="D33" s="619"/>
      <c r="E33" s="642">
        <f t="shared" si="25"/>
        <v>1218.6744561070743</v>
      </c>
      <c r="G33" s="618" t="str">
        <f t="shared" si="26"/>
        <v>&gt;3*25A en t/m 3*35A</v>
      </c>
      <c r="H33" s="619"/>
      <c r="I33" s="619"/>
      <c r="J33" s="642">
        <f t="shared" si="27"/>
        <v>798</v>
      </c>
      <c r="L33" s="618" t="str">
        <f t="shared" si="16"/>
        <v>&gt; 1*40A t/m 3*25A</v>
      </c>
      <c r="M33" s="619"/>
      <c r="N33" s="619"/>
      <c r="O33" s="642">
        <f t="shared" si="17"/>
        <v>0</v>
      </c>
      <c r="Q33" s="618" t="str">
        <f t="shared" si="18"/>
        <v>&gt;3*25A t/m 3*63A</v>
      </c>
      <c r="R33" s="619"/>
      <c r="S33" s="619"/>
      <c r="T33" s="642">
        <f t="shared" si="19"/>
        <v>664</v>
      </c>
      <c r="V33" s="618" t="str">
        <f t="shared" si="20"/>
        <v>&gt;3*50A en t/m 3*80A</v>
      </c>
      <c r="W33" s="619"/>
      <c r="X33" s="619"/>
      <c r="Y33" s="642">
        <f t="shared" si="21"/>
        <v>17327</v>
      </c>
      <c r="AA33" s="618" t="str">
        <f t="shared" si="28"/>
        <v>&gt;3x25A en t/m 3x40A</v>
      </c>
      <c r="AB33" s="619"/>
      <c r="AC33" s="619"/>
      <c r="AD33" s="642">
        <f t="shared" si="29"/>
        <v>0</v>
      </c>
      <c r="AF33" s="618" t="str">
        <f t="shared" si="22"/>
        <v>&gt;3*25A en t/m 3*35A</v>
      </c>
      <c r="AG33" s="619"/>
      <c r="AH33" s="619"/>
      <c r="AI33" s="642">
        <f t="shared" si="23"/>
        <v>7784.042171266582</v>
      </c>
      <c r="AK33" s="618" t="str">
        <f t="shared" si="30"/>
        <v>&gt;3*1500A en t/m 3*1600A af sec. zijde LS</v>
      </c>
      <c r="AL33" s="619"/>
      <c r="AM33" s="619"/>
      <c r="AN33" s="642">
        <f t="shared" si="31"/>
        <v>47</v>
      </c>
    </row>
    <row r="34" spans="2:40" s="503" customFormat="1" ht="11.25">
      <c r="B34" s="618" t="str">
        <f t="shared" si="24"/>
        <v>&gt;3*35A en t/m 3*50A</v>
      </c>
      <c r="C34" s="619"/>
      <c r="D34" s="619"/>
      <c r="E34" s="642">
        <f t="shared" si="25"/>
        <v>0</v>
      </c>
      <c r="G34" s="618" t="str">
        <f t="shared" si="26"/>
        <v>&gt;3*35A en t/m 3*50A</v>
      </c>
      <c r="H34" s="619"/>
      <c r="I34" s="619"/>
      <c r="J34" s="642">
        <f t="shared" si="27"/>
        <v>901</v>
      </c>
      <c r="L34" s="618" t="str">
        <f t="shared" si="16"/>
        <v>&gt;3*25A en t/m 3*40A</v>
      </c>
      <c r="M34" s="619"/>
      <c r="N34" s="619"/>
      <c r="O34" s="642">
        <f t="shared" si="17"/>
        <v>0</v>
      </c>
      <c r="Q34" s="618" t="str">
        <f t="shared" si="18"/>
        <v>&gt;3*63A t/m 3*80A</v>
      </c>
      <c r="R34" s="619"/>
      <c r="S34" s="619"/>
      <c r="T34" s="642">
        <f t="shared" si="19"/>
        <v>1002.5796637309847</v>
      </c>
      <c r="V34" s="618" t="str">
        <f t="shared" si="20"/>
        <v>&gt;3*80A en t/m 100 kVA af sec zijde trafo</v>
      </c>
      <c r="W34" s="619"/>
      <c r="X34" s="619"/>
      <c r="Y34" s="642">
        <f t="shared" si="21"/>
        <v>30283</v>
      </c>
      <c r="AA34" s="618" t="str">
        <f t="shared" si="28"/>
        <v>&gt;3x40A en t/m 3x50A</v>
      </c>
      <c r="AB34" s="619"/>
      <c r="AC34" s="619"/>
      <c r="AD34" s="642">
        <f t="shared" si="29"/>
        <v>12</v>
      </c>
      <c r="AF34" s="618" t="str">
        <f t="shared" si="22"/>
        <v>&gt;3*35A en t/m 3*63A</v>
      </c>
      <c r="AG34" s="619"/>
      <c r="AH34" s="619"/>
      <c r="AI34" s="642">
        <f t="shared" si="23"/>
        <v>9151.1713034554</v>
      </c>
      <c r="AK34" s="618" t="str">
        <f t="shared" si="30"/>
        <v>&gt;3*1200A en t/m 3*1500A af sec. zijde LS</v>
      </c>
      <c r="AL34" s="619"/>
      <c r="AM34" s="619"/>
      <c r="AN34" s="642">
        <f t="shared" si="31"/>
        <v>0</v>
      </c>
    </row>
    <row r="35" spans="2:40" s="503" customFormat="1" ht="11.25">
      <c r="B35" s="618" t="str">
        <f t="shared" si="24"/>
        <v>&gt;3*50A en t/m 3*63A</v>
      </c>
      <c r="C35" s="619"/>
      <c r="D35" s="619"/>
      <c r="E35" s="642">
        <f t="shared" si="25"/>
        <v>0</v>
      </c>
      <c r="G35" s="618" t="str">
        <f t="shared" si="26"/>
        <v>&gt;3*50A en t/m 3*63A</v>
      </c>
      <c r="H35" s="619"/>
      <c r="I35" s="619"/>
      <c r="J35" s="642">
        <f t="shared" si="27"/>
        <v>143</v>
      </c>
      <c r="L35" s="618" t="str">
        <f t="shared" si="16"/>
        <v>&gt;3*40A en t/m 3*50A</v>
      </c>
      <c r="M35" s="619"/>
      <c r="N35" s="619"/>
      <c r="O35" s="642">
        <f t="shared" si="17"/>
        <v>0</v>
      </c>
      <c r="Q35" s="618" t="str">
        <f t="shared" si="18"/>
        <v>&gt;3*80 A t/m 3*160A</v>
      </c>
      <c r="R35" s="619"/>
      <c r="S35" s="619"/>
      <c r="T35" s="642">
        <f t="shared" si="19"/>
        <v>2657</v>
      </c>
      <c r="V35" s="618" t="str">
        <f t="shared" si="20"/>
        <v>&gt;100 kVA en t/m 160 kVA af sec zijde trafo</v>
      </c>
      <c r="W35" s="619"/>
      <c r="X35" s="619"/>
      <c r="Y35" s="642">
        <f t="shared" si="21"/>
        <v>31083</v>
      </c>
      <c r="AA35" s="618" t="str">
        <f t="shared" si="28"/>
        <v>&gt;3x50A en t/m 3x63A</v>
      </c>
      <c r="AB35" s="619"/>
      <c r="AC35" s="619"/>
      <c r="AD35" s="642">
        <f t="shared" si="29"/>
        <v>49</v>
      </c>
      <c r="AF35" s="618" t="str">
        <f t="shared" si="22"/>
        <v>&gt; 3*63 A t/m 3*80A</v>
      </c>
      <c r="AG35" s="619"/>
      <c r="AH35" s="619"/>
      <c r="AI35" s="642">
        <f t="shared" si="23"/>
        <v>7496.316917832678</v>
      </c>
      <c r="AK35" s="618" t="str">
        <f t="shared" si="30"/>
        <v>&gt;3*750A en t/m 3*1200A af sec. zijde LS</v>
      </c>
      <c r="AL35" s="619"/>
      <c r="AM35" s="619"/>
      <c r="AN35" s="642">
        <f t="shared" si="31"/>
        <v>185</v>
      </c>
    </row>
    <row r="36" spans="2:40" s="503" customFormat="1" ht="11.25">
      <c r="B36" s="618" t="str">
        <f t="shared" si="24"/>
        <v>&gt;3*63A en t/m 3*80A</v>
      </c>
      <c r="C36" s="619"/>
      <c r="D36" s="619"/>
      <c r="E36" s="642">
        <f t="shared" si="25"/>
        <v>0</v>
      </c>
      <c r="G36" s="618" t="str">
        <f t="shared" si="26"/>
        <v>&gt;3*63A en t/m 3*80A</v>
      </c>
      <c r="H36" s="619"/>
      <c r="I36" s="619"/>
      <c r="J36" s="642">
        <f t="shared" si="27"/>
        <v>1623</v>
      </c>
      <c r="L36" s="618" t="str">
        <f t="shared" si="16"/>
        <v>&gt;3*50A en t/m 3*63A</v>
      </c>
      <c r="M36" s="619"/>
      <c r="N36" s="619"/>
      <c r="O36" s="642">
        <f t="shared" si="17"/>
        <v>39048.40909090909</v>
      </c>
      <c r="Q36" s="618" t="str">
        <f t="shared" si="18"/>
        <v>&gt;3*160 A t/m 250 A</v>
      </c>
      <c r="R36" s="619"/>
      <c r="S36" s="619"/>
      <c r="T36" s="642">
        <f t="shared" si="19"/>
        <v>1770</v>
      </c>
      <c r="V36" s="618" t="str">
        <f t="shared" si="20"/>
        <v>&gt;160 kVA en t/m 630 kVA met LS meting</v>
      </c>
      <c r="W36" s="619"/>
      <c r="X36" s="619"/>
      <c r="Y36" s="642">
        <f t="shared" si="21"/>
        <v>24364</v>
      </c>
      <c r="AA36" s="618" t="str">
        <f t="shared" si="28"/>
        <v>&gt;3x63A en t/m 3x80A</v>
      </c>
      <c r="AB36" s="619"/>
      <c r="AC36" s="619"/>
      <c r="AD36" s="642">
        <f t="shared" si="29"/>
        <v>20</v>
      </c>
      <c r="AF36" s="618" t="str">
        <f t="shared" si="22"/>
        <v>&gt;3*80A t/m 3*125 A</v>
      </c>
      <c r="AG36" s="619"/>
      <c r="AH36" s="619"/>
      <c r="AI36" s="642">
        <f t="shared" si="23"/>
        <v>19641.156095032522</v>
      </c>
      <c r="AK36" s="618" t="str">
        <f t="shared" si="30"/>
        <v>&gt;3*500A en t/m 3*750A af sec. zijde LS</v>
      </c>
      <c r="AL36" s="619"/>
      <c r="AM36" s="619"/>
      <c r="AN36" s="642">
        <f t="shared" si="31"/>
        <v>410</v>
      </c>
    </row>
    <row r="37" spans="2:40" s="503" customFormat="1" ht="11.25">
      <c r="B37" s="618" t="str">
        <f t="shared" si="24"/>
        <v>&gt;3*80A en t/m 3*100A af sec. zijde LS-transformator</v>
      </c>
      <c r="C37" s="619"/>
      <c r="D37" s="619"/>
      <c r="E37" s="642">
        <f t="shared" si="25"/>
        <v>370</v>
      </c>
      <c r="G37" s="618" t="str">
        <f t="shared" si="26"/>
        <v>&gt;50 kW en t/m 0,2 MW af sec. zijde LS</v>
      </c>
      <c r="H37" s="619"/>
      <c r="I37" s="619"/>
      <c r="J37" s="642">
        <f t="shared" si="27"/>
        <v>6788</v>
      </c>
      <c r="L37" s="618" t="str">
        <f t="shared" si="16"/>
        <v>&gt;3*63A en t/m 3*80A</v>
      </c>
      <c r="M37" s="619"/>
      <c r="N37" s="619"/>
      <c r="O37" s="642">
        <f t="shared" si="17"/>
        <v>0</v>
      </c>
      <c r="Q37" s="618" t="str">
        <f t="shared" si="18"/>
        <v>&gt;110 kVA t/m 630 kVA</v>
      </c>
      <c r="R37" s="619"/>
      <c r="S37" s="619"/>
      <c r="T37" s="642">
        <f t="shared" si="19"/>
        <v>744</v>
      </c>
      <c r="V37" s="618" t="str">
        <f t="shared" si="20"/>
        <v>&gt;630 kVA en t/m 1000 kVA met LS meting</v>
      </c>
      <c r="W37" s="619"/>
      <c r="X37" s="619"/>
      <c r="Y37" s="642">
        <f t="shared" si="21"/>
        <v>3916</v>
      </c>
      <c r="AA37" s="618" t="str">
        <f t="shared" si="28"/>
        <v>&gt;3x80A en t/m 3x100A </v>
      </c>
      <c r="AB37" s="619"/>
      <c r="AC37" s="619"/>
      <c r="AD37" s="642">
        <f t="shared" si="29"/>
        <v>0</v>
      </c>
      <c r="AF37" s="618" t="str">
        <f t="shared" si="22"/>
        <v>&gt;3*125 Amp t/m 175 kVA</v>
      </c>
      <c r="AG37" s="619"/>
      <c r="AH37" s="619"/>
      <c r="AI37" s="642">
        <f t="shared" si="23"/>
        <v>54371.92602971542</v>
      </c>
      <c r="AK37" s="618" t="str">
        <f t="shared" si="30"/>
        <v>&gt;3*480A en t/m 3*500A af sec. zijde LS</v>
      </c>
      <c r="AL37" s="619"/>
      <c r="AM37" s="619"/>
      <c r="AN37" s="642">
        <f t="shared" si="31"/>
        <v>0</v>
      </c>
    </row>
    <row r="38" spans="2:40" s="503" customFormat="1" ht="11.25">
      <c r="B38" s="618" t="str">
        <f t="shared" si="24"/>
        <v>&gt;3*100A en t/m 3*125A af sec.zijde LS-transformator</v>
      </c>
      <c r="C38" s="619"/>
      <c r="D38" s="619"/>
      <c r="E38" s="642">
        <f t="shared" si="25"/>
        <v>0</v>
      </c>
      <c r="G38" s="618" t="str">
        <f t="shared" si="26"/>
        <v>&gt;0,2 MW en t/m 0.6 MW, LS meting</v>
      </c>
      <c r="H38" s="619"/>
      <c r="I38" s="619"/>
      <c r="J38" s="642">
        <f t="shared" si="27"/>
        <v>825</v>
      </c>
      <c r="L38" s="618" t="str">
        <f t="shared" si="16"/>
        <v>&gt;3*80A en t/m 3*160A</v>
      </c>
      <c r="M38" s="619"/>
      <c r="N38" s="619"/>
      <c r="O38" s="642">
        <f t="shared" si="17"/>
        <v>142120</v>
      </c>
      <c r="Q38" s="618" t="str">
        <f t="shared" si="18"/>
        <v>&gt;630 kVA t/m &lt;1 MVA</v>
      </c>
      <c r="R38" s="619"/>
      <c r="S38" s="619"/>
      <c r="T38" s="642">
        <f t="shared" si="19"/>
        <v>0</v>
      </c>
      <c r="V38" s="618" t="str">
        <f t="shared" si="20"/>
        <v>&gt;1000 kVA en t/m 2 MVA </v>
      </c>
      <c r="W38" s="619"/>
      <c r="X38" s="619"/>
      <c r="Y38" s="642">
        <f t="shared" si="21"/>
        <v>5946</v>
      </c>
      <c r="AA38" s="618" t="str">
        <f t="shared" si="28"/>
        <v>&gt;3x100A en t/m 3x125A </v>
      </c>
      <c r="AB38" s="619"/>
      <c r="AC38" s="619"/>
      <c r="AD38" s="642">
        <f t="shared" si="29"/>
        <v>336</v>
      </c>
      <c r="AF38" s="618" t="str">
        <f t="shared" si="22"/>
        <v>&gt; 175kVA t/m 630kVA</v>
      </c>
      <c r="AG38" s="619"/>
      <c r="AH38" s="619"/>
      <c r="AI38" s="642">
        <f t="shared" si="23"/>
        <v>8897.004869645358</v>
      </c>
      <c r="AK38" s="618" t="str">
        <f t="shared" si="30"/>
        <v>&gt;3*400A en t/m 3*480A af sec. zijde LS</v>
      </c>
      <c r="AL38" s="619"/>
      <c r="AM38" s="619"/>
      <c r="AN38" s="642">
        <f t="shared" si="31"/>
        <v>175</v>
      </c>
    </row>
    <row r="39" spans="2:40" s="503" customFormat="1" ht="11.25">
      <c r="B39" s="618" t="str">
        <f t="shared" si="24"/>
        <v>&gt;3*125A en t/m 3*160A af sec.zijde LS-transformator</v>
      </c>
      <c r="C39" s="619"/>
      <c r="D39" s="619"/>
      <c r="E39" s="642">
        <f t="shared" si="25"/>
        <v>621.4143327841845</v>
      </c>
      <c r="G39" s="618" t="str">
        <f t="shared" si="26"/>
        <v>&gt;0,6 MW en t/m 2.0 MW, MS meting</v>
      </c>
      <c r="H39" s="619"/>
      <c r="I39" s="619"/>
      <c r="J39" s="642">
        <f t="shared" si="27"/>
        <v>6805</v>
      </c>
      <c r="L39" s="618" t="str">
        <f t="shared" si="16"/>
        <v>&gt;3*160A  t/m 3*250A</v>
      </c>
      <c r="M39" s="619"/>
      <c r="N39" s="619"/>
      <c r="O39" s="642">
        <f t="shared" si="17"/>
        <v>0</v>
      </c>
      <c r="Q39" s="618" t="str">
        <f t="shared" si="18"/>
        <v>&gt;1 MVA t/m 2 MVA</v>
      </c>
      <c r="R39" s="619"/>
      <c r="S39" s="619"/>
      <c r="T39" s="642">
        <f t="shared" si="19"/>
        <v>0</v>
      </c>
      <c r="V39" s="618" t="str">
        <f t="shared" si="20"/>
        <v>&gt;2 MVA en t/m 5,0 MVA</v>
      </c>
      <c r="W39" s="619"/>
      <c r="X39" s="619"/>
      <c r="Y39" s="642">
        <f t="shared" si="21"/>
        <v>5076.666666666667</v>
      </c>
      <c r="AA39" s="618" t="str">
        <f t="shared" si="28"/>
        <v>&gt;3x125A en t/m 3x160A </v>
      </c>
      <c r="AB39" s="619"/>
      <c r="AC39" s="619"/>
      <c r="AD39" s="642">
        <f t="shared" si="29"/>
        <v>440</v>
      </c>
      <c r="AF39" s="618" t="str">
        <f t="shared" si="22"/>
        <v>&gt; 630kVA t/m 1.000kVA</v>
      </c>
      <c r="AG39" s="619"/>
      <c r="AH39" s="619"/>
      <c r="AI39" s="642">
        <f t="shared" si="23"/>
        <v>833.3088468242107</v>
      </c>
      <c r="AK39" s="618" t="str">
        <f t="shared" si="30"/>
        <v>&gt;3*250A en t/m 3*400A af sec. zijde LS</v>
      </c>
      <c r="AL39" s="619"/>
      <c r="AM39" s="619"/>
      <c r="AN39" s="642">
        <f t="shared" si="31"/>
        <v>920</v>
      </c>
    </row>
    <row r="40" spans="2:40" s="503" customFormat="1" ht="11.25">
      <c r="B40" s="618" t="str">
        <f t="shared" si="24"/>
        <v>&gt;3*160A en t/m 3*200A af sec.zijde LS-transformator</v>
      </c>
      <c r="C40" s="619"/>
      <c r="D40" s="619"/>
      <c r="E40" s="642">
        <f t="shared" si="25"/>
        <v>1888.782482903735</v>
      </c>
      <c r="G40" s="618" t="str">
        <f t="shared" si="26"/>
        <v>&gt;2,0 MVA en t/m 5 MVA</v>
      </c>
      <c r="H40" s="619"/>
      <c r="I40" s="619"/>
      <c r="J40" s="642">
        <f t="shared" si="27"/>
        <v>0</v>
      </c>
      <c r="L40" s="618" t="str">
        <f t="shared" si="16"/>
        <v>&gt;3*250A (173 kVA) t/m 630 kVA</v>
      </c>
      <c r="M40" s="619"/>
      <c r="N40" s="619"/>
      <c r="O40" s="642">
        <f t="shared" si="17"/>
        <v>23091.04761904762</v>
      </c>
      <c r="Q40" s="618" t="str">
        <f t="shared" si="18"/>
        <v>&gt;2 MVA t/m 5,0 MVA</v>
      </c>
      <c r="R40" s="619"/>
      <c r="S40" s="619"/>
      <c r="T40" s="642">
        <f t="shared" si="19"/>
        <v>0</v>
      </c>
      <c r="V40" s="618" t="str">
        <f t="shared" si="20"/>
        <v>&gt;5 MVA en t/m 10,0 MVA</v>
      </c>
      <c r="W40" s="619"/>
      <c r="X40" s="619"/>
      <c r="Y40" s="642">
        <f t="shared" si="21"/>
        <v>9135</v>
      </c>
      <c r="AA40" s="618" t="str">
        <f t="shared" si="28"/>
        <v>&gt;3x160A en t/m 3x200A </v>
      </c>
      <c r="AB40" s="619"/>
      <c r="AC40" s="619"/>
      <c r="AD40" s="642">
        <f t="shared" si="29"/>
        <v>345</v>
      </c>
      <c r="AF40" s="618" t="str">
        <f t="shared" si="22"/>
        <v>&gt; 1.000kVA t/m 1.750kVA</v>
      </c>
      <c r="AG40" s="619"/>
      <c r="AH40" s="619"/>
      <c r="AI40" s="642">
        <f t="shared" si="23"/>
        <v>2116.3176612666725</v>
      </c>
      <c r="AK40" s="618" t="str">
        <f t="shared" si="30"/>
        <v>&gt;3*200A en t/m 3*250A af sec. zijde LS</v>
      </c>
      <c r="AL40" s="619"/>
      <c r="AM40" s="619"/>
      <c r="AN40" s="642">
        <f t="shared" si="31"/>
        <v>208</v>
      </c>
    </row>
    <row r="41" spans="2:40" s="503" customFormat="1" ht="11.25">
      <c r="B41" s="618" t="str">
        <f t="shared" si="24"/>
        <v>&gt;3*200A en t/m 3*225A af sec.zijde LS-transformator</v>
      </c>
      <c r="C41" s="619"/>
      <c r="D41" s="619"/>
      <c r="E41" s="642">
        <f t="shared" si="25"/>
        <v>401.27953705192095</v>
      </c>
      <c r="G41" s="618" t="str">
        <f t="shared" si="26"/>
        <v>&gt;5,0 MVA en t/m 10 MVA</v>
      </c>
      <c r="H41" s="619"/>
      <c r="I41" s="619"/>
      <c r="J41" s="642">
        <f t="shared" si="27"/>
        <v>9850</v>
      </c>
      <c r="L41" s="618" t="str">
        <f t="shared" si="16"/>
        <v>&gt; 630 kVA t/m 1750 kVA</v>
      </c>
      <c r="M41" s="619"/>
      <c r="N41" s="619"/>
      <c r="O41" s="642">
        <f t="shared" si="17"/>
        <v>12149.47619047619</v>
      </c>
      <c r="Q41" s="618" t="str">
        <f t="shared" si="18"/>
        <v>&gt;5,0 MVA t/m 10 MVA</v>
      </c>
      <c r="R41" s="619"/>
      <c r="S41" s="619"/>
      <c r="T41" s="642">
        <f t="shared" si="19"/>
        <v>0</v>
      </c>
      <c r="V41" s="618" t="str">
        <f t="shared" si="20"/>
        <v>t/m 1 x 6A op geschakeld net</v>
      </c>
      <c r="W41" s="619"/>
      <c r="X41" s="619"/>
      <c r="Y41" s="642">
        <f t="shared" si="21"/>
        <v>17007</v>
      </c>
      <c r="AA41" s="618" t="str">
        <f t="shared" si="28"/>
        <v>&gt;3x200A en t/m 3x225A </v>
      </c>
      <c r="AB41" s="619"/>
      <c r="AC41" s="619"/>
      <c r="AD41" s="642">
        <f t="shared" si="29"/>
        <v>85</v>
      </c>
      <c r="AF41" s="618" t="str">
        <f t="shared" si="22"/>
        <v>&gt; 1.750kVA t/m 3.000kVA</v>
      </c>
      <c r="AG41" s="619"/>
      <c r="AH41" s="619"/>
      <c r="AI41" s="642">
        <f t="shared" si="23"/>
        <v>10973.974274301996</v>
      </c>
      <c r="AK41" s="618" t="str">
        <f t="shared" si="30"/>
        <v>&gt;3*80A en t/m 3*200A af sec. zijde LS</v>
      </c>
      <c r="AL41" s="619"/>
      <c r="AM41" s="619"/>
      <c r="AN41" s="642">
        <f t="shared" si="31"/>
        <v>1448</v>
      </c>
    </row>
    <row r="42" spans="2:40" s="503" customFormat="1" ht="11.25">
      <c r="B42" s="618" t="str">
        <f t="shared" si="24"/>
        <v>&gt;0,15 MVA en t/m 0,63 MVA MS met  LS meting</v>
      </c>
      <c r="C42" s="619"/>
      <c r="D42" s="619"/>
      <c r="E42" s="642">
        <f t="shared" si="25"/>
        <v>90</v>
      </c>
      <c r="G42" s="620"/>
      <c r="H42" s="621"/>
      <c r="I42" s="621"/>
      <c r="J42" s="643"/>
      <c r="L42" s="618" t="str">
        <f t="shared" si="16"/>
        <v>&gt; 1750 kVA t/m 6 MVA</v>
      </c>
      <c r="M42" s="619"/>
      <c r="N42" s="619"/>
      <c r="O42" s="642">
        <f t="shared" si="17"/>
        <v>12899.182608695652</v>
      </c>
      <c r="Q42" s="618"/>
      <c r="R42" s="621"/>
      <c r="S42" s="621"/>
      <c r="T42" s="643"/>
      <c r="U42" s="622"/>
      <c r="V42" s="620"/>
      <c r="W42" s="621"/>
      <c r="X42" s="621"/>
      <c r="Y42" s="643"/>
      <c r="AA42" s="618" t="str">
        <f t="shared" si="28"/>
        <v>&gt;0,15 t/m 0.63 MVA met LS meting</v>
      </c>
      <c r="AB42" s="619"/>
      <c r="AC42" s="619"/>
      <c r="AD42" s="642">
        <f t="shared" si="29"/>
        <v>180</v>
      </c>
      <c r="AF42" s="618" t="str">
        <f t="shared" si="22"/>
        <v>&gt; 3.000kVA t/m 10.000kVA</v>
      </c>
      <c r="AG42" s="619"/>
      <c r="AH42" s="619"/>
      <c r="AI42" s="642">
        <f t="shared" si="23"/>
        <v>4433.579251212189</v>
      </c>
      <c r="AK42" s="618" t="str">
        <f t="shared" si="30"/>
        <v>&gt;3*63A en t/m 3*80A</v>
      </c>
      <c r="AL42" s="619"/>
      <c r="AM42" s="619"/>
      <c r="AN42" s="642">
        <f t="shared" si="31"/>
        <v>64</v>
      </c>
    </row>
    <row r="43" spans="2:40" s="503" customFormat="1" ht="11.25">
      <c r="B43" s="618" t="str">
        <f t="shared" si="24"/>
        <v>&gt;0,63 MVA en t/m 1,2 MVA MS met LS meting</v>
      </c>
      <c r="C43" s="619"/>
      <c r="D43" s="619"/>
      <c r="E43" s="642">
        <f t="shared" si="25"/>
        <v>0</v>
      </c>
      <c r="G43" s="620"/>
      <c r="H43" s="621"/>
      <c r="I43" s="621"/>
      <c r="J43" s="643"/>
      <c r="L43" s="618" t="str">
        <f t="shared" si="16"/>
        <v>&gt;6,0 MVA en t/m 10 MVA</v>
      </c>
      <c r="M43" s="619"/>
      <c r="N43" s="619"/>
      <c r="O43" s="642">
        <f t="shared" si="17"/>
        <v>16479.17037037037</v>
      </c>
      <c r="Q43" s="618"/>
      <c r="R43" s="621"/>
      <c r="S43" s="621"/>
      <c r="T43" s="643"/>
      <c r="U43" s="622"/>
      <c r="V43" s="620"/>
      <c r="W43" s="621"/>
      <c r="X43" s="621"/>
      <c r="Y43" s="643"/>
      <c r="AA43" s="618" t="str">
        <f t="shared" si="28"/>
        <v>&gt; 0.63 MVA t/m 1.2 MVA met LS meting </v>
      </c>
      <c r="AB43" s="619"/>
      <c r="AC43" s="619"/>
      <c r="AD43" s="642">
        <f t="shared" si="29"/>
        <v>0</v>
      </c>
      <c r="AF43" s="620"/>
      <c r="AG43" s="621"/>
      <c r="AH43" s="621"/>
      <c r="AI43" s="643"/>
      <c r="AK43" s="618" t="str">
        <f t="shared" si="30"/>
        <v>&gt;3*50A en t/m 3*63A</v>
      </c>
      <c r="AL43" s="619"/>
      <c r="AM43" s="619"/>
      <c r="AN43" s="642">
        <f t="shared" si="31"/>
        <v>10</v>
      </c>
    </row>
    <row r="44" spans="2:40" s="503" customFormat="1" ht="11.25">
      <c r="B44" s="618" t="str">
        <f t="shared" si="24"/>
        <v>&gt;1,2 MVA en t/m 1,8 MVA MS met  MS meting</v>
      </c>
      <c r="C44" s="619"/>
      <c r="D44" s="619"/>
      <c r="E44" s="642">
        <f t="shared" si="25"/>
        <v>0</v>
      </c>
      <c r="G44" s="620"/>
      <c r="H44" s="621"/>
      <c r="I44" s="621"/>
      <c r="J44" s="643"/>
      <c r="L44" s="620"/>
      <c r="M44" s="621"/>
      <c r="N44" s="621"/>
      <c r="O44" s="643"/>
      <c r="Q44" s="618"/>
      <c r="R44" s="621"/>
      <c r="S44" s="621"/>
      <c r="T44" s="643"/>
      <c r="U44" s="622"/>
      <c r="V44" s="620"/>
      <c r="W44" s="621"/>
      <c r="X44" s="621"/>
      <c r="Y44" s="643"/>
      <c r="AA44" s="618" t="str">
        <f t="shared" si="28"/>
        <v>&gt; 1.2 MVA t/m 2 MVA met MS meting</v>
      </c>
      <c r="AB44" s="619"/>
      <c r="AC44" s="619"/>
      <c r="AD44" s="642">
        <f t="shared" si="29"/>
        <v>0</v>
      </c>
      <c r="AF44" s="620"/>
      <c r="AG44" s="621"/>
      <c r="AH44" s="621"/>
      <c r="AI44" s="643"/>
      <c r="AK44" s="618" t="str">
        <f t="shared" si="30"/>
        <v>&gt;3*35A en t/m 3*50A</v>
      </c>
      <c r="AL44" s="619"/>
      <c r="AM44" s="619"/>
      <c r="AN44" s="642">
        <f t="shared" si="31"/>
        <v>2563</v>
      </c>
    </row>
    <row r="45" spans="2:40" s="503" customFormat="1" ht="11.25">
      <c r="B45" s="618" t="str">
        <f t="shared" si="24"/>
        <v>&gt;1,8 MVA en t/m 2,4 MVA MS met  MS meting</v>
      </c>
      <c r="C45" s="619"/>
      <c r="D45" s="619"/>
      <c r="E45" s="642">
        <f t="shared" si="25"/>
        <v>0</v>
      </c>
      <c r="G45" s="620"/>
      <c r="H45" s="621"/>
      <c r="I45" s="621"/>
      <c r="J45" s="643"/>
      <c r="L45" s="620"/>
      <c r="M45" s="621"/>
      <c r="N45" s="621"/>
      <c r="O45" s="643"/>
      <c r="Q45" s="618"/>
      <c r="R45" s="621"/>
      <c r="S45" s="621"/>
      <c r="T45" s="643"/>
      <c r="U45" s="622"/>
      <c r="V45" s="620"/>
      <c r="W45" s="621"/>
      <c r="X45" s="621"/>
      <c r="Y45" s="643"/>
      <c r="AA45" s="618" t="str">
        <f t="shared" si="28"/>
        <v>&gt; 2 MVA t/m 5 MVA met MS meting</v>
      </c>
      <c r="AB45" s="619"/>
      <c r="AC45" s="619"/>
      <c r="AD45" s="642">
        <f t="shared" si="29"/>
        <v>0</v>
      </c>
      <c r="AF45" s="620"/>
      <c r="AG45" s="621"/>
      <c r="AH45" s="621"/>
      <c r="AI45" s="643"/>
      <c r="AK45" s="618" t="str">
        <f t="shared" si="30"/>
        <v>&gt;3*25A en t/m 3*35A</v>
      </c>
      <c r="AL45" s="619"/>
      <c r="AM45" s="619"/>
      <c r="AN45" s="642">
        <f t="shared" si="31"/>
        <v>407.5</v>
      </c>
    </row>
    <row r="46" spans="2:40" s="503" customFormat="1" ht="11.25">
      <c r="B46" s="618" t="str">
        <f t="shared" si="24"/>
        <v>&gt;2,4 MVA en t/m 3,0 MVA MS met  MS meting</v>
      </c>
      <c r="C46" s="619"/>
      <c r="D46" s="619"/>
      <c r="E46" s="642">
        <f t="shared" si="25"/>
        <v>0</v>
      </c>
      <c r="G46" s="620"/>
      <c r="H46" s="621"/>
      <c r="I46" s="621"/>
      <c r="J46" s="643"/>
      <c r="L46" s="620"/>
      <c r="M46" s="621"/>
      <c r="N46" s="621"/>
      <c r="O46" s="643"/>
      <c r="Q46" s="618"/>
      <c r="R46" s="621"/>
      <c r="S46" s="621"/>
      <c r="T46" s="643"/>
      <c r="U46" s="622"/>
      <c r="V46" s="620"/>
      <c r="W46" s="621"/>
      <c r="X46" s="621"/>
      <c r="Y46" s="643"/>
      <c r="AA46" s="618" t="str">
        <f t="shared" si="28"/>
        <v>&gt; 5 MVA tot 10 MVA met MS meting</v>
      </c>
      <c r="AB46" s="619"/>
      <c r="AC46" s="619"/>
      <c r="AD46" s="642">
        <f t="shared" si="29"/>
        <v>0</v>
      </c>
      <c r="AF46" s="620"/>
      <c r="AG46" s="621"/>
      <c r="AH46" s="621"/>
      <c r="AI46" s="643"/>
      <c r="AK46" s="618" t="str">
        <f t="shared" si="30"/>
        <v>t/m 3*25A</v>
      </c>
      <c r="AL46" s="619"/>
      <c r="AM46" s="619"/>
      <c r="AN46" s="642">
        <f t="shared" si="31"/>
        <v>356</v>
      </c>
    </row>
    <row r="47" spans="2:40" ht="12.75">
      <c r="B47" s="389"/>
      <c r="C47" s="390"/>
      <c r="D47" s="390"/>
      <c r="E47" s="617"/>
      <c r="G47" s="389"/>
      <c r="H47" s="390"/>
      <c r="I47" s="390"/>
      <c r="J47" s="617"/>
      <c r="L47" s="389"/>
      <c r="M47" s="390"/>
      <c r="N47" s="390"/>
      <c r="O47" s="617"/>
      <c r="Q47" s="389"/>
      <c r="R47" s="390"/>
      <c r="S47" s="390"/>
      <c r="T47" s="617"/>
      <c r="V47" s="389"/>
      <c r="W47" s="390"/>
      <c r="X47" s="390"/>
      <c r="Y47" s="617"/>
      <c r="AA47" s="389"/>
      <c r="AB47" s="390"/>
      <c r="AC47" s="390"/>
      <c r="AD47" s="644"/>
      <c r="AF47" s="389"/>
      <c r="AG47" s="390"/>
      <c r="AH47" s="390"/>
      <c r="AI47" s="644"/>
      <c r="AK47" s="505" t="str">
        <f t="shared" si="30"/>
        <v>1*6A geschakeld net</v>
      </c>
      <c r="AL47" s="623"/>
      <c r="AM47" s="623"/>
      <c r="AN47" s="645">
        <f t="shared" si="31"/>
        <v>992</v>
      </c>
    </row>
    <row r="50" spans="1:32" s="107" customFormat="1" ht="12.75">
      <c r="A50" s="107" t="s">
        <v>132</v>
      </c>
      <c r="B50" s="78"/>
      <c r="C50" s="108"/>
      <c r="D50" s="108"/>
      <c r="E50" s="108"/>
      <c r="F50" s="108"/>
      <c r="G50" s="108"/>
      <c r="H50" s="108"/>
      <c r="I50" s="108"/>
      <c r="J50" s="108"/>
      <c r="K50" s="108"/>
      <c r="AF50" s="108"/>
    </row>
    <row r="51" s="301" customFormat="1" ht="12.75">
      <c r="A51" s="106"/>
    </row>
    <row r="52" spans="1:7" s="301" customFormat="1" ht="12.75">
      <c r="A52" s="106"/>
      <c r="B52" s="302" t="s">
        <v>348</v>
      </c>
      <c r="C52" s="303" t="s">
        <v>217</v>
      </c>
      <c r="D52" s="303"/>
      <c r="E52" s="304"/>
      <c r="F52" s="303"/>
      <c r="G52" s="304"/>
    </row>
    <row r="53" spans="1:7" s="301" customFormat="1" ht="12.75">
      <c r="A53" s="106"/>
      <c r="B53" s="305" t="s">
        <v>349</v>
      </c>
      <c r="C53" s="306" t="s">
        <v>217</v>
      </c>
      <c r="D53" s="306"/>
      <c r="E53" s="307"/>
      <c r="F53" s="306"/>
      <c r="G53" s="307"/>
    </row>
    <row r="54" spans="1:7" s="301" customFormat="1" ht="12.75">
      <c r="A54" s="106"/>
      <c r="B54" s="308" t="s">
        <v>350</v>
      </c>
      <c r="C54" s="309" t="s">
        <v>218</v>
      </c>
      <c r="D54" s="309"/>
      <c r="E54" s="310"/>
      <c r="F54" s="309"/>
      <c r="G54" s="310"/>
    </row>
    <row r="55" spans="2:7" s="301" customFormat="1" ht="12.75">
      <c r="B55" s="311" t="s">
        <v>215</v>
      </c>
      <c r="C55" s="312" t="s">
        <v>218</v>
      </c>
      <c r="D55" s="312"/>
      <c r="E55" s="313"/>
      <c r="F55" s="312"/>
      <c r="G55" s="313"/>
    </row>
    <row r="56" spans="2:7" s="301" customFormat="1" ht="12.75">
      <c r="B56" s="314" t="s">
        <v>216</v>
      </c>
      <c r="C56" s="315" t="s">
        <v>219</v>
      </c>
      <c r="D56" s="315"/>
      <c r="E56" s="316"/>
      <c r="F56" s="315"/>
      <c r="G56" s="316"/>
    </row>
    <row r="57" s="301" customFormat="1" ht="12.75"/>
    <row r="58" spans="1:32" s="107" customFormat="1" ht="12.75">
      <c r="A58" s="107" t="s">
        <v>497</v>
      </c>
      <c r="B58" s="78"/>
      <c r="C58" s="108"/>
      <c r="D58" s="108"/>
      <c r="E58" s="108"/>
      <c r="F58" s="108"/>
      <c r="G58" s="108"/>
      <c r="H58" s="108"/>
      <c r="I58" s="108"/>
      <c r="J58" s="108"/>
      <c r="K58" s="108"/>
      <c r="AF58" s="108"/>
    </row>
    <row r="59" spans="2:6" ht="12.75">
      <c r="B59" s="84"/>
      <c r="C59" s="84"/>
      <c r="D59" s="84"/>
      <c r="E59" s="84"/>
      <c r="F59" s="84"/>
    </row>
    <row r="60" spans="2:6" ht="12.75">
      <c r="B60" s="102" t="s">
        <v>397</v>
      </c>
      <c r="C60" s="84"/>
      <c r="D60" s="84"/>
      <c r="E60" s="84"/>
      <c r="F60" s="84"/>
    </row>
    <row r="61" spans="2:6" ht="12.75">
      <c r="B61" s="102"/>
      <c r="C61" s="84"/>
      <c r="D61" s="84"/>
      <c r="E61" s="84"/>
      <c r="F61" s="84"/>
    </row>
    <row r="62" spans="2:37" s="301" customFormat="1" ht="12.75">
      <c r="B62" s="317" t="s">
        <v>139</v>
      </c>
      <c r="C62" s="318"/>
      <c r="D62" s="318"/>
      <c r="E62" s="318"/>
      <c r="F62" s="318"/>
      <c r="G62" s="319" t="s">
        <v>58</v>
      </c>
      <c r="L62" s="319" t="s">
        <v>141</v>
      </c>
      <c r="Q62" s="319" t="s">
        <v>388</v>
      </c>
      <c r="V62" s="317" t="s">
        <v>142</v>
      </c>
      <c r="AA62" s="319" t="s">
        <v>143</v>
      </c>
      <c r="AF62" s="319" t="s">
        <v>140</v>
      </c>
      <c r="AK62" s="103" t="s">
        <v>59</v>
      </c>
    </row>
    <row r="63" spans="2:40" s="301" customFormat="1" ht="12.75">
      <c r="B63" s="320" t="s">
        <v>397</v>
      </c>
      <c r="C63" s="321"/>
      <c r="D63" s="320" t="s">
        <v>346</v>
      </c>
      <c r="E63" s="322" t="s">
        <v>347</v>
      </c>
      <c r="G63" s="320" t="s">
        <v>397</v>
      </c>
      <c r="H63" s="321"/>
      <c r="I63" s="320" t="s">
        <v>346</v>
      </c>
      <c r="J63" s="322" t="s">
        <v>347</v>
      </c>
      <c r="L63" s="320" t="s">
        <v>397</v>
      </c>
      <c r="M63" s="321"/>
      <c r="N63" s="104" t="s">
        <v>346</v>
      </c>
      <c r="O63" s="105" t="s">
        <v>347</v>
      </c>
      <c r="Q63" s="320" t="s">
        <v>397</v>
      </c>
      <c r="R63" s="321"/>
      <c r="S63" s="104" t="s">
        <v>346</v>
      </c>
      <c r="T63" s="117" t="s">
        <v>347</v>
      </c>
      <c r="V63" s="320" t="s">
        <v>397</v>
      </c>
      <c r="W63" s="321"/>
      <c r="X63" s="104" t="s">
        <v>346</v>
      </c>
      <c r="Y63" s="117" t="s">
        <v>347</v>
      </c>
      <c r="AA63" s="323" t="s">
        <v>397</v>
      </c>
      <c r="AB63" s="324"/>
      <c r="AC63" s="118" t="s">
        <v>346</v>
      </c>
      <c r="AD63" s="117" t="s">
        <v>347</v>
      </c>
      <c r="AF63" s="323" t="s">
        <v>397</v>
      </c>
      <c r="AG63" s="324"/>
      <c r="AH63" s="118" t="s">
        <v>346</v>
      </c>
      <c r="AI63" s="117" t="s">
        <v>347</v>
      </c>
      <c r="AK63" s="320" t="s">
        <v>397</v>
      </c>
      <c r="AL63" s="321"/>
      <c r="AM63" s="104" t="s">
        <v>346</v>
      </c>
      <c r="AN63" s="117" t="s">
        <v>347</v>
      </c>
    </row>
    <row r="64" spans="2:41" s="301" customFormat="1" ht="12.75">
      <c r="B64" s="325" t="s">
        <v>398</v>
      </c>
      <c r="C64" s="326"/>
      <c r="D64" s="327">
        <v>350</v>
      </c>
      <c r="E64" s="328">
        <f aca="true" t="shared" si="32" ref="E64:E79">E133</f>
        <v>541.606817585407</v>
      </c>
      <c r="F64" s="329"/>
      <c r="G64" s="330" t="s">
        <v>413</v>
      </c>
      <c r="H64" s="331"/>
      <c r="I64" s="332">
        <v>284.07</v>
      </c>
      <c r="J64" s="333">
        <f>J133</f>
        <v>1360</v>
      </c>
      <c r="L64" s="323"/>
      <c r="M64" s="335"/>
      <c r="N64" s="119"/>
      <c r="O64" s="117"/>
      <c r="Q64" s="330" t="s">
        <v>431</v>
      </c>
      <c r="R64" s="331"/>
      <c r="S64" s="332">
        <v>345.18</v>
      </c>
      <c r="T64" s="333">
        <f>T133</f>
        <v>22</v>
      </c>
      <c r="V64" s="336" t="s">
        <v>260</v>
      </c>
      <c r="W64" s="331"/>
      <c r="X64" s="337">
        <v>546.7</v>
      </c>
      <c r="Y64" s="337">
        <f>Y133</f>
        <v>36285</v>
      </c>
      <c r="AA64" s="325" t="s">
        <v>441</v>
      </c>
      <c r="AB64" s="331"/>
      <c r="AC64" s="332">
        <v>363</v>
      </c>
      <c r="AD64" s="333">
        <f>AD133</f>
        <v>309</v>
      </c>
      <c r="AE64" s="338"/>
      <c r="AF64" s="325" t="s">
        <v>457</v>
      </c>
      <c r="AG64" s="326"/>
      <c r="AH64" s="332">
        <v>327.86</v>
      </c>
      <c r="AI64" s="334">
        <f>AI133</f>
        <v>16870.134756444942</v>
      </c>
      <c r="AK64" s="330" t="s">
        <v>466</v>
      </c>
      <c r="AL64" s="331"/>
      <c r="AM64" s="339">
        <v>178772.27</v>
      </c>
      <c r="AN64" s="340">
        <f>AN133</f>
        <v>1</v>
      </c>
      <c r="AO64" s="341"/>
    </row>
    <row r="65" spans="2:41" s="301" customFormat="1" ht="12.75">
      <c r="B65" s="330" t="s">
        <v>399</v>
      </c>
      <c r="C65" s="338"/>
      <c r="D65" s="342">
        <v>585</v>
      </c>
      <c r="E65" s="343">
        <f t="shared" si="32"/>
        <v>658.0002804638002</v>
      </c>
      <c r="F65" s="329"/>
      <c r="G65" s="330" t="s">
        <v>414</v>
      </c>
      <c r="H65" s="344"/>
      <c r="I65" s="345">
        <v>539.31</v>
      </c>
      <c r="J65" s="346">
        <f aca="true" t="shared" si="33" ref="J65:J74">J134</f>
        <v>1868</v>
      </c>
      <c r="L65" s="330" t="s">
        <v>420</v>
      </c>
      <c r="M65" s="338"/>
      <c r="N65" s="332">
        <v>296</v>
      </c>
      <c r="O65" s="334">
        <f>O134</f>
        <v>29519.46935483871</v>
      </c>
      <c r="Q65" s="330" t="s">
        <v>262</v>
      </c>
      <c r="R65" s="344"/>
      <c r="S65" s="345">
        <v>542.6</v>
      </c>
      <c r="T65" s="346">
        <f aca="true" t="shared" si="34" ref="T65:T74">T134</f>
        <v>1781</v>
      </c>
      <c r="V65" s="348" t="s">
        <v>264</v>
      </c>
      <c r="W65" s="344"/>
      <c r="X65" s="349">
        <v>845.73</v>
      </c>
      <c r="Y65" s="349">
        <f aca="true" t="shared" si="35" ref="Y65:Y74">Y134</f>
        <v>2116</v>
      </c>
      <c r="AA65" s="330" t="s">
        <v>442</v>
      </c>
      <c r="AB65" s="344"/>
      <c r="AC65" s="345">
        <v>615</v>
      </c>
      <c r="AD65" s="346">
        <f aca="true" t="shared" si="36" ref="AD65:AD79">AD134</f>
        <v>315</v>
      </c>
      <c r="AE65" s="338"/>
      <c r="AF65" s="330" t="s">
        <v>458</v>
      </c>
      <c r="AG65" s="338"/>
      <c r="AH65" s="345">
        <v>479.57</v>
      </c>
      <c r="AI65" s="347">
        <f aca="true" t="shared" si="37" ref="AI65:AI75">AI134</f>
        <v>33085.45556173802</v>
      </c>
      <c r="AK65" s="330" t="s">
        <v>467</v>
      </c>
      <c r="AL65" s="344"/>
      <c r="AM65" s="350">
        <v>58739.46</v>
      </c>
      <c r="AN65" s="351">
        <f aca="true" t="shared" si="38" ref="AN65:AN80">AN134</f>
        <v>17</v>
      </c>
      <c r="AO65" s="341"/>
    </row>
    <row r="66" spans="2:41" s="301" customFormat="1" ht="12.75">
      <c r="B66" s="330" t="s">
        <v>340</v>
      </c>
      <c r="C66" s="338"/>
      <c r="D66" s="352">
        <v>990.8</v>
      </c>
      <c r="E66" s="353">
        <f t="shared" si="32"/>
        <v>18</v>
      </c>
      <c r="F66" s="329"/>
      <c r="G66" s="330" t="s">
        <v>340</v>
      </c>
      <c r="H66" s="344"/>
      <c r="I66" s="354">
        <v>760.63</v>
      </c>
      <c r="J66" s="349">
        <f t="shared" si="33"/>
        <v>82</v>
      </c>
      <c r="L66" s="330" t="s">
        <v>421</v>
      </c>
      <c r="M66" s="338"/>
      <c r="N66" s="345">
        <v>568</v>
      </c>
      <c r="O66" s="347">
        <f aca="true" t="shared" si="39" ref="O66:O77">O135</f>
        <v>20542.66998319328</v>
      </c>
      <c r="Q66" s="330" t="s">
        <v>432</v>
      </c>
      <c r="R66" s="344"/>
      <c r="S66" s="354">
        <v>740.04</v>
      </c>
      <c r="T66" s="349">
        <f t="shared" si="34"/>
        <v>209</v>
      </c>
      <c r="V66" s="348" t="s">
        <v>270</v>
      </c>
      <c r="W66" s="344"/>
      <c r="X66" s="349">
        <v>1025.4</v>
      </c>
      <c r="Y66" s="349">
        <f t="shared" si="35"/>
        <v>1391</v>
      </c>
      <c r="AA66" s="330" t="s">
        <v>443</v>
      </c>
      <c r="AB66" s="344"/>
      <c r="AC66" s="354">
        <v>828</v>
      </c>
      <c r="AD66" s="349">
        <f t="shared" si="36"/>
        <v>15</v>
      </c>
      <c r="AE66" s="338"/>
      <c r="AF66" s="330" t="s">
        <v>340</v>
      </c>
      <c r="AG66" s="338"/>
      <c r="AH66" s="354">
        <v>721.26</v>
      </c>
      <c r="AI66" s="355">
        <f t="shared" si="37"/>
        <v>1196.971072030577</v>
      </c>
      <c r="AK66" s="330" t="s">
        <v>468</v>
      </c>
      <c r="AL66" s="344"/>
      <c r="AM66" s="350">
        <v>20635.09</v>
      </c>
      <c r="AN66" s="351">
        <f t="shared" si="38"/>
        <v>8</v>
      </c>
      <c r="AO66" s="341"/>
    </row>
    <row r="67" spans="2:41" s="301" customFormat="1" ht="12.75">
      <c r="B67" s="330" t="s">
        <v>339</v>
      </c>
      <c r="C67" s="338"/>
      <c r="D67" s="352">
        <v>990.8</v>
      </c>
      <c r="E67" s="353">
        <f t="shared" si="32"/>
        <v>4</v>
      </c>
      <c r="F67" s="329"/>
      <c r="G67" s="330" t="s">
        <v>339</v>
      </c>
      <c r="H67" s="344"/>
      <c r="I67" s="354">
        <v>837.81</v>
      </c>
      <c r="J67" s="349">
        <f t="shared" si="33"/>
        <v>43</v>
      </c>
      <c r="L67" s="330" t="s">
        <v>422</v>
      </c>
      <c r="M67" s="338"/>
      <c r="N67" s="345">
        <v>568</v>
      </c>
      <c r="O67" s="347">
        <f t="shared" si="39"/>
        <v>9893.809831932773</v>
      </c>
      <c r="Q67" s="330" t="s">
        <v>433</v>
      </c>
      <c r="R67" s="344"/>
      <c r="S67" s="354">
        <v>1606.88</v>
      </c>
      <c r="T67" s="349">
        <f t="shared" si="34"/>
        <v>8</v>
      </c>
      <c r="V67" s="348" t="s">
        <v>276</v>
      </c>
      <c r="W67" s="344"/>
      <c r="X67" s="356">
        <v>3687.22</v>
      </c>
      <c r="Y67" s="356">
        <f t="shared" si="35"/>
        <v>227</v>
      </c>
      <c r="AA67" s="330" t="s">
        <v>444</v>
      </c>
      <c r="AB67" s="344"/>
      <c r="AC67" s="354">
        <v>933</v>
      </c>
      <c r="AD67" s="349">
        <f t="shared" si="36"/>
        <v>6</v>
      </c>
      <c r="AE67" s="338"/>
      <c r="AF67" s="330" t="s">
        <v>459</v>
      </c>
      <c r="AG67" s="338"/>
      <c r="AH67" s="354">
        <v>721.26</v>
      </c>
      <c r="AI67" s="355">
        <f t="shared" si="37"/>
        <v>1204.8155621241067</v>
      </c>
      <c r="AK67" s="330" t="s">
        <v>469</v>
      </c>
      <c r="AL67" s="344"/>
      <c r="AM67" s="350">
        <v>13203.04</v>
      </c>
      <c r="AN67" s="351">
        <f t="shared" si="38"/>
        <v>1</v>
      </c>
      <c r="AO67" s="341"/>
    </row>
    <row r="68" spans="2:41" s="301" customFormat="1" ht="12.75">
      <c r="B68" s="330" t="s">
        <v>400</v>
      </c>
      <c r="C68" s="338"/>
      <c r="D68" s="352">
        <v>990.8</v>
      </c>
      <c r="E68" s="353">
        <f t="shared" si="32"/>
        <v>8.679241016142406</v>
      </c>
      <c r="F68" s="329"/>
      <c r="G68" s="330" t="s">
        <v>400</v>
      </c>
      <c r="H68" s="344"/>
      <c r="I68" s="354">
        <v>942.95</v>
      </c>
      <c r="J68" s="349">
        <f t="shared" si="33"/>
        <v>24</v>
      </c>
      <c r="L68" s="330" t="s">
        <v>423</v>
      </c>
      <c r="M68" s="338"/>
      <c r="N68" s="354">
        <v>692</v>
      </c>
      <c r="O68" s="355">
        <f t="shared" si="39"/>
        <v>0</v>
      </c>
      <c r="Q68" s="330" t="s">
        <v>434</v>
      </c>
      <c r="R68" s="344"/>
      <c r="S68" s="357">
        <v>2707.34</v>
      </c>
      <c r="T68" s="356">
        <f t="shared" si="34"/>
        <v>19</v>
      </c>
      <c r="V68" s="348" t="s">
        <v>284</v>
      </c>
      <c r="W68" s="344"/>
      <c r="X68" s="356">
        <v>4137.37</v>
      </c>
      <c r="Y68" s="356">
        <f t="shared" si="35"/>
        <v>233</v>
      </c>
      <c r="AA68" s="330" t="s">
        <v>445</v>
      </c>
      <c r="AB68" s="344"/>
      <c r="AC68" s="354">
        <v>1007</v>
      </c>
      <c r="AD68" s="349">
        <f t="shared" si="36"/>
        <v>7</v>
      </c>
      <c r="AE68" s="338"/>
      <c r="AF68" s="330" t="s">
        <v>460</v>
      </c>
      <c r="AG68" s="338"/>
      <c r="AH68" s="354">
        <v>1176.88</v>
      </c>
      <c r="AI68" s="355">
        <f t="shared" si="37"/>
        <v>505.9587437596409</v>
      </c>
      <c r="AK68" s="330" t="s">
        <v>470</v>
      </c>
      <c r="AL68" s="344"/>
      <c r="AM68" s="358">
        <v>11783.6</v>
      </c>
      <c r="AN68" s="359">
        <f t="shared" si="38"/>
        <v>4</v>
      </c>
      <c r="AO68" s="341"/>
    </row>
    <row r="69" spans="2:41" s="301" customFormat="1" ht="12.75">
      <c r="B69" s="330" t="s">
        <v>401</v>
      </c>
      <c r="C69" s="338"/>
      <c r="D69" s="352">
        <v>990.8</v>
      </c>
      <c r="E69" s="353">
        <f t="shared" si="32"/>
        <v>18</v>
      </c>
      <c r="F69" s="329"/>
      <c r="G69" s="330" t="s">
        <v>401</v>
      </c>
      <c r="H69" s="344"/>
      <c r="I69" s="354">
        <v>1001.47</v>
      </c>
      <c r="J69" s="349">
        <f t="shared" si="33"/>
        <v>55</v>
      </c>
      <c r="L69" s="330" t="s">
        <v>424</v>
      </c>
      <c r="M69" s="338"/>
      <c r="N69" s="354">
        <v>692</v>
      </c>
      <c r="O69" s="355">
        <f t="shared" si="39"/>
        <v>483.32758620689657</v>
      </c>
      <c r="Q69" s="330" t="s">
        <v>435</v>
      </c>
      <c r="R69" s="344"/>
      <c r="S69" s="357">
        <v>4126.86</v>
      </c>
      <c r="T69" s="356">
        <f t="shared" si="34"/>
        <v>20</v>
      </c>
      <c r="V69" s="348" t="s">
        <v>292</v>
      </c>
      <c r="W69" s="344"/>
      <c r="X69" s="356">
        <v>16987.11</v>
      </c>
      <c r="Y69" s="356">
        <f t="shared" si="35"/>
        <v>168</v>
      </c>
      <c r="AA69" s="330" t="s">
        <v>446</v>
      </c>
      <c r="AB69" s="344"/>
      <c r="AC69" s="354">
        <v>1007</v>
      </c>
      <c r="AD69" s="349">
        <f t="shared" si="36"/>
        <v>23</v>
      </c>
      <c r="AE69" s="338"/>
      <c r="AF69" s="330" t="s">
        <v>461</v>
      </c>
      <c r="AG69" s="338"/>
      <c r="AH69" s="357">
        <v>2475.96</v>
      </c>
      <c r="AI69" s="360">
        <f t="shared" si="37"/>
        <v>214.90232171740746</v>
      </c>
      <c r="AK69" s="330" t="s">
        <v>471</v>
      </c>
      <c r="AL69" s="344"/>
      <c r="AM69" s="358">
        <v>6435.8</v>
      </c>
      <c r="AN69" s="359">
        <f t="shared" si="38"/>
        <v>3</v>
      </c>
      <c r="AO69" s="341"/>
    </row>
    <row r="70" spans="2:41" s="301" customFormat="1" ht="12.75">
      <c r="B70" s="330" t="s">
        <v>402</v>
      </c>
      <c r="C70" s="338"/>
      <c r="D70" s="361">
        <v>3707.2</v>
      </c>
      <c r="E70" s="362">
        <f t="shared" si="32"/>
        <v>0</v>
      </c>
      <c r="F70" s="329"/>
      <c r="G70" s="330" t="s">
        <v>415</v>
      </c>
      <c r="H70" s="344"/>
      <c r="I70" s="357">
        <v>3655.66</v>
      </c>
      <c r="J70" s="356">
        <f t="shared" si="33"/>
        <v>39</v>
      </c>
      <c r="L70" s="330" t="s">
        <v>400</v>
      </c>
      <c r="M70" s="338"/>
      <c r="N70" s="354">
        <v>826</v>
      </c>
      <c r="O70" s="355">
        <f t="shared" si="39"/>
        <v>569.3037572254335</v>
      </c>
      <c r="Q70" s="330" t="s">
        <v>436</v>
      </c>
      <c r="R70" s="344"/>
      <c r="S70" s="357">
        <v>11468.58</v>
      </c>
      <c r="T70" s="356">
        <f t="shared" si="34"/>
        <v>16</v>
      </c>
      <c r="V70" s="348" t="s">
        <v>300</v>
      </c>
      <c r="W70" s="363"/>
      <c r="X70" s="364">
        <v>31507.05</v>
      </c>
      <c r="Y70" s="364">
        <f t="shared" si="35"/>
        <v>27</v>
      </c>
      <c r="AA70" s="330" t="s">
        <v>447</v>
      </c>
      <c r="AB70" s="344"/>
      <c r="AC70" s="357">
        <v>3025</v>
      </c>
      <c r="AD70" s="356">
        <f t="shared" si="36"/>
        <v>0</v>
      </c>
      <c r="AE70" s="338"/>
      <c r="AF70" s="330" t="s">
        <v>462</v>
      </c>
      <c r="AG70" s="338"/>
      <c r="AH70" s="357">
        <v>2952.54</v>
      </c>
      <c r="AI70" s="360">
        <f t="shared" si="37"/>
        <v>540.512992291005</v>
      </c>
      <c r="AK70" s="330" t="s">
        <v>472</v>
      </c>
      <c r="AL70" s="344"/>
      <c r="AM70" s="358">
        <v>6435.8</v>
      </c>
      <c r="AN70" s="359">
        <f t="shared" si="38"/>
        <v>1</v>
      </c>
      <c r="AO70" s="341"/>
    </row>
    <row r="71" spans="2:41" s="301" customFormat="1" ht="12.75">
      <c r="B71" s="330" t="s">
        <v>403</v>
      </c>
      <c r="C71" s="338"/>
      <c r="D71" s="361">
        <v>3918.74</v>
      </c>
      <c r="E71" s="362">
        <f t="shared" si="32"/>
        <v>3</v>
      </c>
      <c r="F71" s="329"/>
      <c r="G71" s="330" t="s">
        <v>416</v>
      </c>
      <c r="H71" s="344"/>
      <c r="I71" s="357">
        <v>12506.1</v>
      </c>
      <c r="J71" s="356">
        <f t="shared" si="33"/>
        <v>10</v>
      </c>
      <c r="L71" s="330" t="s">
        <v>401</v>
      </c>
      <c r="M71" s="338"/>
      <c r="N71" s="354">
        <v>826</v>
      </c>
      <c r="O71" s="355">
        <f t="shared" si="39"/>
        <v>793.1035606936416</v>
      </c>
      <c r="Q71" s="330" t="s">
        <v>437</v>
      </c>
      <c r="R71" s="344"/>
      <c r="S71" s="365">
        <v>22321.52</v>
      </c>
      <c r="T71" s="364">
        <f t="shared" si="34"/>
        <v>1</v>
      </c>
      <c r="V71" s="348" t="s">
        <v>359</v>
      </c>
      <c r="W71" s="344"/>
      <c r="X71" s="364">
        <v>50035.9</v>
      </c>
      <c r="Y71" s="364">
        <f t="shared" si="35"/>
        <v>41</v>
      </c>
      <c r="AA71" s="330" t="s">
        <v>448</v>
      </c>
      <c r="AB71" s="344"/>
      <c r="AC71" s="357">
        <v>3130</v>
      </c>
      <c r="AD71" s="356">
        <f t="shared" si="36"/>
        <v>2</v>
      </c>
      <c r="AE71" s="338"/>
      <c r="AF71" s="330" t="s">
        <v>463</v>
      </c>
      <c r="AG71" s="329"/>
      <c r="AH71" s="357">
        <v>29598.72</v>
      </c>
      <c r="AI71" s="360">
        <f t="shared" si="37"/>
        <v>146.91823119806622</v>
      </c>
      <c r="AK71" s="330" t="s">
        <v>473</v>
      </c>
      <c r="AL71" s="344"/>
      <c r="AM71" s="358">
        <v>4903.46</v>
      </c>
      <c r="AN71" s="359">
        <f t="shared" si="38"/>
        <v>2</v>
      </c>
      <c r="AO71" s="341"/>
    </row>
    <row r="72" spans="2:41" s="301" customFormat="1" ht="12.75">
      <c r="B72" s="330" t="s">
        <v>404</v>
      </c>
      <c r="C72" s="338"/>
      <c r="D72" s="361">
        <v>5402.33</v>
      </c>
      <c r="E72" s="362">
        <f t="shared" si="32"/>
        <v>1</v>
      </c>
      <c r="F72" s="329"/>
      <c r="G72" s="330" t="s">
        <v>417</v>
      </c>
      <c r="H72" s="344"/>
      <c r="I72" s="365">
        <v>47812.01</v>
      </c>
      <c r="J72" s="364">
        <f t="shared" si="33"/>
        <v>9</v>
      </c>
      <c r="L72" s="330" t="s">
        <v>425</v>
      </c>
      <c r="M72" s="338"/>
      <c r="N72" s="357">
        <v>2101</v>
      </c>
      <c r="O72" s="360">
        <f t="shared" si="39"/>
        <v>478.10954545454547</v>
      </c>
      <c r="Q72" s="330" t="s">
        <v>438</v>
      </c>
      <c r="R72" s="344"/>
      <c r="S72" s="365">
        <v>32013.79</v>
      </c>
      <c r="T72" s="364">
        <f t="shared" si="34"/>
        <v>0</v>
      </c>
      <c r="V72" s="348" t="s">
        <v>314</v>
      </c>
      <c r="W72" s="344"/>
      <c r="X72" s="364">
        <v>221208.2</v>
      </c>
      <c r="Y72" s="364">
        <f t="shared" si="35"/>
        <v>8</v>
      </c>
      <c r="AA72" s="330" t="s">
        <v>449</v>
      </c>
      <c r="AB72" s="344"/>
      <c r="AC72" s="357">
        <v>4020</v>
      </c>
      <c r="AD72" s="356">
        <f t="shared" si="36"/>
        <v>3</v>
      </c>
      <c r="AE72" s="338"/>
      <c r="AF72" s="330" t="s">
        <v>464</v>
      </c>
      <c r="AG72" s="169"/>
      <c r="AH72" s="365">
        <v>36978.66</v>
      </c>
      <c r="AI72" s="366">
        <f t="shared" si="37"/>
        <v>24.438653178609485</v>
      </c>
      <c r="AK72" s="330" t="s">
        <v>32</v>
      </c>
      <c r="AL72" s="344"/>
      <c r="AM72" s="358">
        <v>4903.46</v>
      </c>
      <c r="AN72" s="359">
        <f t="shared" si="38"/>
        <v>9</v>
      </c>
      <c r="AO72" s="341"/>
    </row>
    <row r="73" spans="2:41" s="301" customFormat="1" ht="12.75">
      <c r="B73" s="330" t="s">
        <v>405</v>
      </c>
      <c r="C73" s="338"/>
      <c r="D73" s="361">
        <v>5753.07</v>
      </c>
      <c r="E73" s="362">
        <f t="shared" si="32"/>
        <v>3.998934134863916</v>
      </c>
      <c r="F73" s="329"/>
      <c r="G73" s="330" t="s">
        <v>418</v>
      </c>
      <c r="H73" s="344"/>
      <c r="I73" s="365">
        <v>181433.46</v>
      </c>
      <c r="J73" s="364">
        <f t="shared" si="33"/>
        <v>0</v>
      </c>
      <c r="L73" s="330" t="s">
        <v>426</v>
      </c>
      <c r="M73" s="338"/>
      <c r="N73" s="357">
        <v>2769</v>
      </c>
      <c r="O73" s="360">
        <f t="shared" si="39"/>
        <v>392.2620862068966</v>
      </c>
      <c r="Q73" s="330" t="s">
        <v>439</v>
      </c>
      <c r="R73" s="344"/>
      <c r="S73" s="365">
        <v>103660.98</v>
      </c>
      <c r="T73" s="364">
        <f t="shared" si="34"/>
        <v>0</v>
      </c>
      <c r="V73" s="348" t="s">
        <v>322</v>
      </c>
      <c r="W73" s="344"/>
      <c r="X73" s="364">
        <v>321925.29</v>
      </c>
      <c r="Y73" s="364">
        <f t="shared" si="35"/>
        <v>9</v>
      </c>
      <c r="AA73" s="330" t="s">
        <v>450</v>
      </c>
      <c r="AB73" s="344"/>
      <c r="AC73" s="357">
        <v>4615</v>
      </c>
      <c r="AD73" s="356">
        <f t="shared" si="36"/>
        <v>2</v>
      </c>
      <c r="AE73" s="338"/>
      <c r="AF73" s="330" t="s">
        <v>465</v>
      </c>
      <c r="AG73" s="169"/>
      <c r="AH73" s="365">
        <v>36978.66</v>
      </c>
      <c r="AI73" s="366">
        <f t="shared" si="37"/>
        <v>67.49646248423038</v>
      </c>
      <c r="AK73" s="330" t="s">
        <v>33</v>
      </c>
      <c r="AL73" s="344"/>
      <c r="AM73" s="358">
        <v>4734.9</v>
      </c>
      <c r="AN73" s="359">
        <f t="shared" si="38"/>
        <v>5</v>
      </c>
      <c r="AO73" s="341"/>
    </row>
    <row r="74" spans="2:41" s="301" customFormat="1" ht="12.75">
      <c r="B74" s="330" t="s">
        <v>406</v>
      </c>
      <c r="C74" s="338"/>
      <c r="D74" s="361">
        <v>6030.24</v>
      </c>
      <c r="E74" s="362">
        <f t="shared" si="32"/>
        <v>7</v>
      </c>
      <c r="F74" s="329"/>
      <c r="G74" s="330" t="s">
        <v>419</v>
      </c>
      <c r="H74" s="344"/>
      <c r="I74" s="365">
        <v>197980.22</v>
      </c>
      <c r="J74" s="367">
        <f t="shared" si="33"/>
        <v>2</v>
      </c>
      <c r="L74" s="330" t="s">
        <v>427</v>
      </c>
      <c r="M74" s="338"/>
      <c r="N74" s="357">
        <v>10118</v>
      </c>
      <c r="O74" s="360">
        <f t="shared" si="39"/>
        <v>402.6470533270411</v>
      </c>
      <c r="Q74" s="330" t="s">
        <v>440</v>
      </c>
      <c r="R74" s="344"/>
      <c r="S74" s="365">
        <v>143257.34</v>
      </c>
      <c r="T74" s="364">
        <f t="shared" si="34"/>
        <v>0</v>
      </c>
      <c r="V74" s="348" t="s">
        <v>329</v>
      </c>
      <c r="W74" s="344"/>
      <c r="X74" s="368">
        <v>329.4</v>
      </c>
      <c r="Y74" s="368">
        <f t="shared" si="35"/>
        <v>10610</v>
      </c>
      <c r="AA74" s="330" t="s">
        <v>451</v>
      </c>
      <c r="AB74" s="344"/>
      <c r="AC74" s="357">
        <v>4615</v>
      </c>
      <c r="AD74" s="356">
        <f t="shared" si="36"/>
        <v>1</v>
      </c>
      <c r="AE74" s="338"/>
      <c r="AF74" s="330" t="s">
        <v>289</v>
      </c>
      <c r="AG74" s="169"/>
      <c r="AH74" s="365">
        <v>172840.62</v>
      </c>
      <c r="AI74" s="366">
        <f t="shared" si="37"/>
        <v>10.260462157208451</v>
      </c>
      <c r="AK74" s="330" t="s">
        <v>34</v>
      </c>
      <c r="AL74" s="344"/>
      <c r="AM74" s="358">
        <v>4434.45</v>
      </c>
      <c r="AN74" s="359">
        <f t="shared" si="38"/>
        <v>20</v>
      </c>
      <c r="AO74" s="341"/>
    </row>
    <row r="75" spans="2:41" s="301" customFormat="1" ht="12.75">
      <c r="B75" s="330" t="s">
        <v>407</v>
      </c>
      <c r="C75" s="338"/>
      <c r="D75" s="361">
        <v>25009.12</v>
      </c>
      <c r="E75" s="362">
        <f t="shared" si="32"/>
        <v>2</v>
      </c>
      <c r="G75" s="369"/>
      <c r="H75" s="370"/>
      <c r="I75" s="371"/>
      <c r="J75" s="371"/>
      <c r="L75" s="330" t="s">
        <v>428</v>
      </c>
      <c r="M75" s="338"/>
      <c r="N75" s="365">
        <v>22576</v>
      </c>
      <c r="O75" s="366">
        <f t="shared" si="39"/>
        <v>200.00846023688663</v>
      </c>
      <c r="Q75" s="369"/>
      <c r="R75" s="370"/>
      <c r="S75" s="371"/>
      <c r="T75" s="375"/>
      <c r="V75" s="369"/>
      <c r="W75" s="370"/>
      <c r="X75" s="376"/>
      <c r="Y75" s="377"/>
      <c r="AA75" s="330" t="s">
        <v>452</v>
      </c>
      <c r="AB75" s="344"/>
      <c r="AC75" s="357">
        <v>18305</v>
      </c>
      <c r="AD75" s="356">
        <f t="shared" si="36"/>
        <v>1</v>
      </c>
      <c r="AE75" s="338"/>
      <c r="AF75" s="372" t="s">
        <v>297</v>
      </c>
      <c r="AG75" s="373"/>
      <c r="AH75" s="365">
        <v>221938.7</v>
      </c>
      <c r="AI75" s="374">
        <f t="shared" si="37"/>
        <v>17.96882107982351</v>
      </c>
      <c r="AK75" s="330" t="s">
        <v>401</v>
      </c>
      <c r="AL75" s="344"/>
      <c r="AM75" s="378">
        <v>1245.02</v>
      </c>
      <c r="AN75" s="379">
        <f t="shared" si="38"/>
        <v>24</v>
      </c>
      <c r="AO75" s="341"/>
    </row>
    <row r="76" spans="2:41" s="301" customFormat="1" ht="12.75">
      <c r="B76" s="330" t="s">
        <v>408</v>
      </c>
      <c r="C76" s="329"/>
      <c r="D76" s="380">
        <v>29110.35</v>
      </c>
      <c r="E76" s="381">
        <f t="shared" si="32"/>
        <v>0</v>
      </c>
      <c r="L76" s="330" t="s">
        <v>429</v>
      </c>
      <c r="M76" s="338"/>
      <c r="N76" s="365">
        <v>149089</v>
      </c>
      <c r="O76" s="366">
        <f t="shared" si="39"/>
        <v>14.200906447170354</v>
      </c>
      <c r="AA76" s="330" t="s">
        <v>453</v>
      </c>
      <c r="AB76" s="363"/>
      <c r="AC76" s="365">
        <v>21455</v>
      </c>
      <c r="AD76" s="364">
        <f t="shared" si="36"/>
        <v>0</v>
      </c>
      <c r="AE76" s="329"/>
      <c r="AF76" s="382"/>
      <c r="AG76" s="383"/>
      <c r="AH76" s="384"/>
      <c r="AI76" s="385"/>
      <c r="AK76" s="330" t="s">
        <v>400</v>
      </c>
      <c r="AL76" s="363"/>
      <c r="AM76" s="378">
        <v>1173.41</v>
      </c>
      <c r="AN76" s="379">
        <f t="shared" si="38"/>
        <v>12</v>
      </c>
      <c r="AO76" s="341"/>
    </row>
    <row r="77" spans="2:41" ht="12.75">
      <c r="B77" s="330" t="s">
        <v>409</v>
      </c>
      <c r="C77" s="386"/>
      <c r="D77" s="380">
        <v>58385.75</v>
      </c>
      <c r="E77" s="381">
        <f t="shared" si="32"/>
        <v>0</v>
      </c>
      <c r="L77" s="372" t="s">
        <v>430</v>
      </c>
      <c r="M77" s="387"/>
      <c r="N77" s="365">
        <v>231888</v>
      </c>
      <c r="O77" s="374">
        <f t="shared" si="39"/>
        <v>3.68823178139736</v>
      </c>
      <c r="AA77" s="330" t="s">
        <v>454</v>
      </c>
      <c r="AB77" s="388"/>
      <c r="AC77" s="365">
        <v>48889.79265</v>
      </c>
      <c r="AD77" s="364">
        <f>AD146</f>
        <v>0</v>
      </c>
      <c r="AE77" s="329"/>
      <c r="AK77" s="330" t="s">
        <v>339</v>
      </c>
      <c r="AL77" s="363"/>
      <c r="AM77" s="378">
        <v>1035.32</v>
      </c>
      <c r="AN77" s="379">
        <f t="shared" si="38"/>
        <v>9</v>
      </c>
      <c r="AO77" s="341"/>
    </row>
    <row r="78" spans="2:41" ht="12.75">
      <c r="B78" s="330" t="s">
        <v>410</v>
      </c>
      <c r="C78" s="386"/>
      <c r="D78" s="380">
        <v>59315.34</v>
      </c>
      <c r="E78" s="381">
        <f t="shared" si="32"/>
        <v>0</v>
      </c>
      <c r="L78" s="389"/>
      <c r="M78" s="390"/>
      <c r="N78" s="391"/>
      <c r="O78" s="391"/>
      <c r="Q78" s="392"/>
      <c r="AA78" s="330" t="s">
        <v>455</v>
      </c>
      <c r="AB78" s="388"/>
      <c r="AC78" s="365">
        <v>311337.36065</v>
      </c>
      <c r="AD78" s="364">
        <f t="shared" si="36"/>
        <v>0</v>
      </c>
      <c r="AE78" s="329"/>
      <c r="AK78" s="330" t="s">
        <v>340</v>
      </c>
      <c r="AL78" s="363"/>
      <c r="AM78" s="378">
        <v>745.72</v>
      </c>
      <c r="AN78" s="379">
        <f t="shared" si="38"/>
        <v>68</v>
      </c>
      <c r="AO78" s="341"/>
    </row>
    <row r="79" spans="2:41" ht="12.75">
      <c r="B79" s="372" t="s">
        <v>411</v>
      </c>
      <c r="C79" s="390"/>
      <c r="D79" s="380">
        <v>59777.33</v>
      </c>
      <c r="E79" s="381">
        <f t="shared" si="32"/>
        <v>0</v>
      </c>
      <c r="AA79" s="330" t="s">
        <v>456</v>
      </c>
      <c r="AB79" s="388"/>
      <c r="AC79" s="365">
        <v>332744.76574999996</v>
      </c>
      <c r="AD79" s="364">
        <f t="shared" si="36"/>
        <v>0</v>
      </c>
      <c r="AE79" s="329"/>
      <c r="AK79" s="330" t="s">
        <v>260</v>
      </c>
      <c r="AL79" s="363"/>
      <c r="AM79" s="393">
        <v>678.65</v>
      </c>
      <c r="AN79" s="394">
        <f t="shared" si="38"/>
        <v>972</v>
      </c>
      <c r="AO79" s="341"/>
    </row>
    <row r="80" spans="2:41" ht="12.75">
      <c r="B80" s="395"/>
      <c r="C80" s="396"/>
      <c r="D80" s="391"/>
      <c r="E80" s="391"/>
      <c r="AA80" s="395"/>
      <c r="AB80" s="397"/>
      <c r="AC80" s="391"/>
      <c r="AD80" s="391"/>
      <c r="AE80" s="329"/>
      <c r="AK80" s="330" t="s">
        <v>35</v>
      </c>
      <c r="AL80" s="363"/>
      <c r="AM80" s="398">
        <v>356.53</v>
      </c>
      <c r="AN80" s="399">
        <f t="shared" si="38"/>
        <v>456</v>
      </c>
      <c r="AO80" s="341"/>
    </row>
    <row r="81" spans="37:40" ht="12.75">
      <c r="AK81" s="369"/>
      <c r="AL81" s="370"/>
      <c r="AM81" s="400"/>
      <c r="AN81" s="401"/>
    </row>
    <row r="82" spans="2:40" s="301" customFormat="1" ht="12.75">
      <c r="B82" s="402" t="s">
        <v>381</v>
      </c>
      <c r="C82" s="383"/>
      <c r="D82" s="403">
        <f>SUMPRODUCT(D64:D80,E64:E80)</f>
        <v>755118.5602282711</v>
      </c>
      <c r="G82" s="402" t="s">
        <v>381</v>
      </c>
      <c r="H82" s="383"/>
      <c r="I82" s="403">
        <f>SUMPRODUCT(I64:I80,J64:J80)</f>
        <v>2663775.69</v>
      </c>
      <c r="L82" s="402" t="s">
        <v>381</v>
      </c>
      <c r="M82" s="383"/>
      <c r="N82" s="403">
        <f>SUMPRODUCT(N65:N80,O65:O80)</f>
        <v>41138005.98648489</v>
      </c>
      <c r="Q82" s="402" t="s">
        <v>381</v>
      </c>
      <c r="R82" s="383"/>
      <c r="S82" s="403">
        <f>SUMPRODUCT(S64:S80,T64:T80)</f>
        <v>1481283.42</v>
      </c>
      <c r="V82" s="402" t="s">
        <v>381</v>
      </c>
      <c r="W82" s="383"/>
      <c r="X82" s="403">
        <f>SUMPRODUCT(X64:X80,Y64:Y80)</f>
        <v>38771835.67</v>
      </c>
      <c r="AA82" s="402" t="s">
        <v>381</v>
      </c>
      <c r="AB82" s="383"/>
      <c r="AC82" s="403">
        <f>SUMPRODUCT(AC64:AC80,AD64:AD80)</f>
        <v>404590</v>
      </c>
      <c r="AF82" s="402" t="s">
        <v>381</v>
      </c>
      <c r="AG82" s="383"/>
      <c r="AH82" s="403">
        <f>SUMPRODUCT(AH64:AH80,AI64:AI80)</f>
        <v>39363205.845846035</v>
      </c>
      <c r="AK82" s="402" t="s">
        <v>381</v>
      </c>
      <c r="AL82" s="383"/>
      <c r="AM82" s="403">
        <f>SUMPRODUCT(AM64:AM80,AN64:AN80)</f>
        <v>2521019.7299999995</v>
      </c>
      <c r="AN82" s="404"/>
    </row>
    <row r="83" s="301" customFormat="1" ht="12.75"/>
    <row r="84" spans="2:37" s="301" customFormat="1" ht="12.75">
      <c r="B84" s="317" t="s">
        <v>139</v>
      </c>
      <c r="C84" s="318"/>
      <c r="D84" s="318"/>
      <c r="E84" s="318"/>
      <c r="F84" s="318"/>
      <c r="G84" s="319" t="s">
        <v>58</v>
      </c>
      <c r="L84" s="319" t="s">
        <v>141</v>
      </c>
      <c r="Q84" s="319" t="s">
        <v>388</v>
      </c>
      <c r="V84" s="317" t="s">
        <v>142</v>
      </c>
      <c r="AA84" s="319" t="s">
        <v>143</v>
      </c>
      <c r="AF84" s="319" t="s">
        <v>140</v>
      </c>
      <c r="AK84" s="103" t="s">
        <v>59</v>
      </c>
    </row>
    <row r="85" spans="2:40" s="301" customFormat="1" ht="12.75">
      <c r="B85" s="320" t="s">
        <v>397</v>
      </c>
      <c r="C85" s="383"/>
      <c r="D85" s="104" t="s">
        <v>346</v>
      </c>
      <c r="E85" s="105" t="s">
        <v>347</v>
      </c>
      <c r="G85" s="320" t="s">
        <v>397</v>
      </c>
      <c r="H85" s="383"/>
      <c r="I85" s="104" t="s">
        <v>346</v>
      </c>
      <c r="J85" s="105" t="s">
        <v>347</v>
      </c>
      <c r="L85" s="320" t="s">
        <v>397</v>
      </c>
      <c r="M85" s="383"/>
      <c r="N85" s="104" t="s">
        <v>346</v>
      </c>
      <c r="O85" s="105" t="s">
        <v>347</v>
      </c>
      <c r="Q85" s="320" t="s">
        <v>397</v>
      </c>
      <c r="R85" s="383"/>
      <c r="S85" s="104" t="s">
        <v>346</v>
      </c>
      <c r="T85" s="105" t="s">
        <v>347</v>
      </c>
      <c r="V85" s="320" t="s">
        <v>397</v>
      </c>
      <c r="W85" s="383"/>
      <c r="X85" s="104" t="s">
        <v>346</v>
      </c>
      <c r="Y85" s="105" t="s">
        <v>347</v>
      </c>
      <c r="AA85" s="320" t="s">
        <v>397</v>
      </c>
      <c r="AB85" s="383"/>
      <c r="AC85" s="104" t="s">
        <v>346</v>
      </c>
      <c r="AD85" s="105" t="s">
        <v>347</v>
      </c>
      <c r="AF85" s="320" t="s">
        <v>397</v>
      </c>
      <c r="AG85" s="383"/>
      <c r="AH85" s="104" t="s">
        <v>346</v>
      </c>
      <c r="AI85" s="105" t="s">
        <v>347</v>
      </c>
      <c r="AK85" s="320" t="s">
        <v>397</v>
      </c>
      <c r="AL85" s="383"/>
      <c r="AM85" s="104" t="s">
        <v>346</v>
      </c>
      <c r="AN85" s="105" t="s">
        <v>347</v>
      </c>
    </row>
    <row r="86" spans="2:40" s="301" customFormat="1" ht="12.75">
      <c r="B86" s="405" t="s">
        <v>348</v>
      </c>
      <c r="C86" s="169"/>
      <c r="D86" s="327">
        <f>D64</f>
        <v>350</v>
      </c>
      <c r="E86" s="406">
        <f>E64</f>
        <v>541.606817585407</v>
      </c>
      <c r="G86" s="405" t="s">
        <v>348</v>
      </c>
      <c r="H86" s="169"/>
      <c r="I86" s="327">
        <f>I64</f>
        <v>284.07</v>
      </c>
      <c r="J86" s="406">
        <f>J64</f>
        <v>1360</v>
      </c>
      <c r="L86" s="405" t="s">
        <v>348</v>
      </c>
      <c r="M86" s="169"/>
      <c r="N86" s="327">
        <f>N65</f>
        <v>296</v>
      </c>
      <c r="O86" s="406">
        <f>O65</f>
        <v>29519.46935483871</v>
      </c>
      <c r="Q86" s="405" t="s">
        <v>348</v>
      </c>
      <c r="R86" s="169"/>
      <c r="S86" s="327">
        <f>S64</f>
        <v>345.18</v>
      </c>
      <c r="T86" s="406">
        <f>T64</f>
        <v>22</v>
      </c>
      <c r="V86" s="405" t="s">
        <v>348</v>
      </c>
      <c r="W86" s="169"/>
      <c r="X86" s="327">
        <f>X74</f>
        <v>329.4</v>
      </c>
      <c r="Y86" s="406">
        <f>Y74</f>
        <v>10610</v>
      </c>
      <c r="AA86" s="405" t="s">
        <v>348</v>
      </c>
      <c r="AB86" s="169"/>
      <c r="AC86" s="327">
        <f>AC64</f>
        <v>363</v>
      </c>
      <c r="AD86" s="406">
        <f>AD64</f>
        <v>309</v>
      </c>
      <c r="AF86" s="405" t="s">
        <v>348</v>
      </c>
      <c r="AG86" s="169"/>
      <c r="AH86" s="327">
        <f>AH64</f>
        <v>327.86</v>
      </c>
      <c r="AI86" s="406">
        <f>AI64</f>
        <v>16870.134756444942</v>
      </c>
      <c r="AK86" s="405" t="s">
        <v>348</v>
      </c>
      <c r="AL86" s="169"/>
      <c r="AM86" s="327">
        <f>AM80</f>
        <v>356.53</v>
      </c>
      <c r="AN86" s="406">
        <f>AN80</f>
        <v>456</v>
      </c>
    </row>
    <row r="87" spans="2:40" s="301" customFormat="1" ht="12.75">
      <c r="B87" s="405" t="s">
        <v>349</v>
      </c>
      <c r="C87" s="169"/>
      <c r="D87" s="342">
        <f>D65</f>
        <v>585</v>
      </c>
      <c r="E87" s="407">
        <f>E65</f>
        <v>658.0002804638002</v>
      </c>
      <c r="G87" s="405" t="s">
        <v>349</v>
      </c>
      <c r="H87" s="169"/>
      <c r="I87" s="342">
        <f>I65</f>
        <v>539.31</v>
      </c>
      <c r="J87" s="407">
        <f>J65</f>
        <v>1868</v>
      </c>
      <c r="L87" s="405" t="s">
        <v>349</v>
      </c>
      <c r="M87" s="169"/>
      <c r="N87" s="342">
        <f>IF(O87&lt;&gt;0,SUMPRODUCT(N66:N67,O66:O67)/SUM(O66:O67),0)</f>
        <v>568</v>
      </c>
      <c r="O87" s="407">
        <f>SUM(O66:O67)</f>
        <v>30436.47981512605</v>
      </c>
      <c r="Q87" s="405" t="s">
        <v>349</v>
      </c>
      <c r="R87" s="169"/>
      <c r="S87" s="342">
        <f>S65</f>
        <v>542.6</v>
      </c>
      <c r="T87" s="407">
        <f>T65</f>
        <v>1781</v>
      </c>
      <c r="V87" s="405" t="s">
        <v>349</v>
      </c>
      <c r="W87" s="169"/>
      <c r="X87" s="342">
        <f>X64</f>
        <v>546.7</v>
      </c>
      <c r="Y87" s="407">
        <f>Y64</f>
        <v>36285</v>
      </c>
      <c r="AA87" s="405" t="s">
        <v>349</v>
      </c>
      <c r="AB87" s="169"/>
      <c r="AC87" s="342">
        <f>AC65</f>
        <v>615</v>
      </c>
      <c r="AD87" s="407">
        <f>AD65</f>
        <v>315</v>
      </c>
      <c r="AF87" s="405" t="s">
        <v>349</v>
      </c>
      <c r="AG87" s="169"/>
      <c r="AH87" s="342">
        <f>AH65</f>
        <v>479.57</v>
      </c>
      <c r="AI87" s="407">
        <f>AI65</f>
        <v>33085.45556173802</v>
      </c>
      <c r="AK87" s="405" t="s">
        <v>349</v>
      </c>
      <c r="AL87" s="169"/>
      <c r="AM87" s="342">
        <f>AM79</f>
        <v>678.65</v>
      </c>
      <c r="AN87" s="407">
        <f>AN79</f>
        <v>972</v>
      </c>
    </row>
    <row r="88" spans="2:40" s="301" customFormat="1" ht="12.75">
      <c r="B88" s="405" t="s">
        <v>350</v>
      </c>
      <c r="C88" s="169"/>
      <c r="D88" s="352">
        <f>IF(E88&lt;&gt;0,SUMPRODUCT(D66:D69,E66:E69)/SUM(E66:E69),0)</f>
        <v>990.7999999999998</v>
      </c>
      <c r="E88" s="408">
        <f>SUM(E66:E69)</f>
        <v>48.679241016142406</v>
      </c>
      <c r="G88" s="405" t="s">
        <v>350</v>
      </c>
      <c r="H88" s="169"/>
      <c r="I88" s="352">
        <f>IF(J88&lt;&gt;0,SUMPRODUCT(I66:I69,J66:J69)/SUM(J66:J69),0)</f>
        <v>863.2800980392157</v>
      </c>
      <c r="J88" s="408">
        <f>SUM(J66:J69)</f>
        <v>204</v>
      </c>
      <c r="L88" s="405" t="s">
        <v>350</v>
      </c>
      <c r="M88" s="169"/>
      <c r="N88" s="352">
        <f>IF(O88&lt;&gt;0,SUMPRODUCT(N68:N71,O68:O71)/SUM(O68:O71),0)</f>
        <v>790.9105099508354</v>
      </c>
      <c r="O88" s="408">
        <f>SUM(O68:O71)</f>
        <v>1845.7349041259718</v>
      </c>
      <c r="Q88" s="405" t="s">
        <v>350</v>
      </c>
      <c r="R88" s="169"/>
      <c r="S88" s="352">
        <f>IF(T88&lt;&gt;0,SUMPRODUCT(S66:S67,T66:T67)/SUM(T66:T67),0)</f>
        <v>771.9972350230414</v>
      </c>
      <c r="T88" s="408">
        <f>SUM(T66:T67)</f>
        <v>217</v>
      </c>
      <c r="V88" s="405" t="s">
        <v>350</v>
      </c>
      <c r="W88" s="169"/>
      <c r="X88" s="352">
        <f>IF(Y88&lt;&gt;0,SUMPRODUCT(X65:X66,Y65:Y66)/SUM(Y65:Y66),0)</f>
        <v>916.9934644995723</v>
      </c>
      <c r="Y88" s="408">
        <f>SUM(Y65:Y66)</f>
        <v>3507</v>
      </c>
      <c r="AA88" s="405" t="s">
        <v>350</v>
      </c>
      <c r="AB88" s="169"/>
      <c r="AC88" s="352">
        <f>IF(AD88&lt;&gt;0,SUMPRODUCT(AC66:AC69,AD66:AD69)/SUM(AD66:AD69),0)</f>
        <v>945.6470588235294</v>
      </c>
      <c r="AD88" s="408">
        <f>SUM(AD66:AD69)</f>
        <v>51</v>
      </c>
      <c r="AF88" s="405" t="s">
        <v>350</v>
      </c>
      <c r="AG88" s="169"/>
      <c r="AH88" s="352">
        <f>IF(AI88&lt;&gt;0,SUMPRODUCT(AH66:AH68,AI66:AI68)/SUM(AI66:AI68),0)</f>
        <v>800.5396111319483</v>
      </c>
      <c r="AI88" s="408">
        <f>SUM(AI66:AI68)</f>
        <v>2907.7453779143248</v>
      </c>
      <c r="AK88" s="405" t="s">
        <v>350</v>
      </c>
      <c r="AL88" s="169"/>
      <c r="AM88" s="352">
        <f>SUMPRODUCT(AM75:AM78,AN75:AN78)/SUM(AN75:AN78)</f>
        <v>920.2499115044247</v>
      </c>
      <c r="AN88" s="408">
        <f>SUM(AN75:AN78)</f>
        <v>113</v>
      </c>
    </row>
    <row r="89" spans="2:40" s="301" customFormat="1" ht="12.75">
      <c r="B89" s="405" t="s">
        <v>341</v>
      </c>
      <c r="C89" s="169"/>
      <c r="D89" s="361">
        <f>IF(E89&lt;&gt;0,SUMPRODUCT(D70:D75,E70:E75)/SUM(E70:E75),0)</f>
        <v>7788.407023221955</v>
      </c>
      <c r="E89" s="409">
        <f>SUM(E70:E75)</f>
        <v>16.998934134863916</v>
      </c>
      <c r="G89" s="405" t="s">
        <v>341</v>
      </c>
      <c r="H89" s="169"/>
      <c r="I89" s="361">
        <f>IF(J89&lt;&gt;0,SUMPRODUCT(I70:I71,J70:J71)/SUM(J70:J71),0)</f>
        <v>5461.872244897959</v>
      </c>
      <c r="J89" s="409">
        <f>SUM(J70:J71)</f>
        <v>49</v>
      </c>
      <c r="L89" s="405" t="s">
        <v>341</v>
      </c>
      <c r="M89" s="169"/>
      <c r="N89" s="361">
        <f>IF(O89&lt;&gt;0,SUMPRODUCT(N72:N74,O72:O74)/SUM(O72:O74),0)</f>
        <v>4842.556381900765</v>
      </c>
      <c r="O89" s="409">
        <f>SUM(O72:O74)</f>
        <v>1273.018684988483</v>
      </c>
      <c r="Q89" s="405" t="s">
        <v>341</v>
      </c>
      <c r="R89" s="169"/>
      <c r="S89" s="361">
        <f>IF(T89&lt;&gt;0,SUMPRODUCT(S68:S70,T68:T70)/SUM(T68:T70),0)</f>
        <v>5772.253454545455</v>
      </c>
      <c r="T89" s="409">
        <f>SUM(T68:T70)</f>
        <v>55</v>
      </c>
      <c r="V89" s="405" t="s">
        <v>341</v>
      </c>
      <c r="W89" s="169"/>
      <c r="X89" s="361">
        <f>IF(Y89&lt;&gt;0,SUMPRODUCT(X67:X69,Y67:Y69)/SUM(Y67:Y69),0)</f>
        <v>7412.166608280255</v>
      </c>
      <c r="Y89" s="409">
        <f>SUM(Y67:Y69)</f>
        <v>628</v>
      </c>
      <c r="AA89" s="405" t="s">
        <v>341</v>
      </c>
      <c r="AB89" s="169"/>
      <c r="AC89" s="361">
        <f>IF(AD89&lt;&gt;0,SUMPRODUCT(AC70:AC75,AD70:AD75)/SUM(AD70:AD75),0)</f>
        <v>5607.777777777777</v>
      </c>
      <c r="AD89" s="409">
        <f>SUM(AD70:AD75)</f>
        <v>9</v>
      </c>
      <c r="AF89" s="405" t="s">
        <v>341</v>
      </c>
      <c r="AG89" s="169"/>
      <c r="AH89" s="361">
        <f>IF(AI89&lt;&gt;0,SUMPRODUCT(AH69:AH71,AI69:AI71)/SUM(AI69:AI71),0)</f>
        <v>7177.5757482042045</v>
      </c>
      <c r="AI89" s="409">
        <f>SUM(AI69:AI71)</f>
        <v>902.3335452064787</v>
      </c>
      <c r="AK89" s="405" t="s">
        <v>341</v>
      </c>
      <c r="AL89" s="169"/>
      <c r="AM89" s="361">
        <f>SUMPRODUCT(AM68:AM74,AN68:AN74)/SUM(AN68:AN74)</f>
        <v>5435.89</v>
      </c>
      <c r="AN89" s="409">
        <f>SUM(AN68:AN74)</f>
        <v>44</v>
      </c>
    </row>
    <row r="90" spans="2:40" s="301" customFormat="1" ht="12.75">
      <c r="B90" s="405" t="s">
        <v>216</v>
      </c>
      <c r="C90" s="169"/>
      <c r="D90" s="380">
        <f>IF(E90&lt;&gt;0,SUMPRODUCT(D76:D79,E76:E79)/SUM(E76:E79),0)</f>
        <v>0</v>
      </c>
      <c r="E90" s="410">
        <f>SUM(E76:E79)</f>
        <v>0</v>
      </c>
      <c r="G90" s="405" t="s">
        <v>216</v>
      </c>
      <c r="H90" s="169"/>
      <c r="I90" s="380">
        <f>IF(J90&lt;&gt;0,SUMPRODUCT(I72:I74,J72:J74)/SUM(J72:J74),0)</f>
        <v>75115.32090909091</v>
      </c>
      <c r="J90" s="410">
        <f>SUM(J72:J74)</f>
        <v>11</v>
      </c>
      <c r="L90" s="405" t="s">
        <v>216</v>
      </c>
      <c r="M90" s="169"/>
      <c r="N90" s="380">
        <f>IF(O90&lt;&gt;0,SUMPRODUCT(N75:N77,O75:O77)/SUM(O75:O77),0)</f>
        <v>34364.06221852846</v>
      </c>
      <c r="O90" s="410">
        <f>SUM(O75:O77)</f>
        <v>217.89759846545434</v>
      </c>
      <c r="Q90" s="405" t="s">
        <v>216</v>
      </c>
      <c r="R90" s="169"/>
      <c r="S90" s="380">
        <f>IF(T90&lt;&gt;0,SUMPRODUCT(S71:S74,T71:T74)/SUM(T71:T74),0)</f>
        <v>22321.52</v>
      </c>
      <c r="T90" s="410">
        <f>SUM(T71:T74)</f>
        <v>1</v>
      </c>
      <c r="V90" s="405" t="s">
        <v>216</v>
      </c>
      <c r="W90" s="169"/>
      <c r="X90" s="380">
        <f>IF(Y90&lt;&gt;0,SUMPRODUCT(X70:X73,Y70:Y73)/SUM(Y70:Y73),0)</f>
        <v>89048.88776470587</v>
      </c>
      <c r="Y90" s="410">
        <f>SUM(Y70:Y73)</f>
        <v>85</v>
      </c>
      <c r="AA90" s="405" t="s">
        <v>216</v>
      </c>
      <c r="AB90" s="169"/>
      <c r="AC90" s="380">
        <f>IF(AD90&lt;&gt;0,SUMPRODUCT(AC76:AC79,AD76:AD79)/SUM(AD76:AD79),0)</f>
        <v>0</v>
      </c>
      <c r="AD90" s="410">
        <f>SUM(AD76:AD79)</f>
        <v>0</v>
      </c>
      <c r="AF90" s="405" t="s">
        <v>216</v>
      </c>
      <c r="AG90" s="169"/>
      <c r="AH90" s="380">
        <f>IF(AI90&lt;&gt;0,SUMPRODUCT(AH72:AH75,AI72:AI75)/SUM(AI72:AI75),0)</f>
        <v>76237.54539410151</v>
      </c>
      <c r="AI90" s="410">
        <f>SUM(AI72:AI75)</f>
        <v>120.16439889987183</v>
      </c>
      <c r="AK90" s="405" t="s">
        <v>216</v>
      </c>
      <c r="AL90" s="169"/>
      <c r="AM90" s="380">
        <f>SUMPRODUCT(AM64:AM67,AN64:AN67)/SUM(AN64:AN67)</f>
        <v>50208.40185185185</v>
      </c>
      <c r="AN90" s="410">
        <f>SUM(AN64:AN67)</f>
        <v>27</v>
      </c>
    </row>
    <row r="91" spans="2:40" s="318" customFormat="1" ht="12.75">
      <c r="B91" s="411" t="s">
        <v>381</v>
      </c>
      <c r="C91" s="412"/>
      <c r="D91" s="413">
        <f>SUMPRODUCT(D86:D90,E86:E90)</f>
        <v>755118.5602282711</v>
      </c>
      <c r="E91" s="414"/>
      <c r="G91" s="411" t="s">
        <v>381</v>
      </c>
      <c r="H91" s="412"/>
      <c r="I91" s="413">
        <f>SUMPRODUCT(I86:I90,J86:J90)</f>
        <v>2663775.6899999995</v>
      </c>
      <c r="J91" s="414"/>
      <c r="L91" s="411" t="s">
        <v>381</v>
      </c>
      <c r="M91" s="412"/>
      <c r="N91" s="413">
        <f>SUMPRODUCT(N86:N90,O86:O90)</f>
        <v>41138005.986484885</v>
      </c>
      <c r="O91" s="414"/>
      <c r="Q91" s="411" t="s">
        <v>381</v>
      </c>
      <c r="R91" s="412"/>
      <c r="S91" s="413">
        <f>SUMPRODUCT(S86:S90,T86:T90)</f>
        <v>1481283.42</v>
      </c>
      <c r="T91" s="414"/>
      <c r="V91" s="411" t="s">
        <v>381</v>
      </c>
      <c r="W91" s="412"/>
      <c r="X91" s="413">
        <f>SUMPRODUCT(X86:X90,Y86:Y90)</f>
        <v>38771835.669999994</v>
      </c>
      <c r="Y91" s="414"/>
      <c r="AA91" s="411" t="s">
        <v>381</v>
      </c>
      <c r="AB91" s="412"/>
      <c r="AC91" s="413">
        <f>SUMPRODUCT(AC86:AC90,AD86:AD90)</f>
        <v>404590</v>
      </c>
      <c r="AD91" s="414"/>
      <c r="AF91" s="411" t="s">
        <v>381</v>
      </c>
      <c r="AG91" s="412"/>
      <c r="AH91" s="413">
        <f>SUMPRODUCT(AH86:AH90,AI86:AI90)</f>
        <v>39363205.84584604</v>
      </c>
      <c r="AI91" s="414"/>
      <c r="AK91" s="411" t="s">
        <v>381</v>
      </c>
      <c r="AL91" s="412"/>
      <c r="AM91" s="413">
        <f>SUMPRODUCT(AM86:AM90,AN86:AN90)</f>
        <v>2521019.7299999995</v>
      </c>
      <c r="AN91" s="414"/>
    </row>
    <row r="92" spans="2:40" s="318" customFormat="1" ht="12.75">
      <c r="B92" s="295"/>
      <c r="C92" s="193"/>
      <c r="D92" s="415"/>
      <c r="E92" s="415"/>
      <c r="G92" s="295"/>
      <c r="H92" s="193"/>
      <c r="I92" s="415"/>
      <c r="J92" s="415"/>
      <c r="L92" s="295"/>
      <c r="M92" s="193"/>
      <c r="N92" s="415"/>
      <c r="O92" s="415"/>
      <c r="Q92" s="295"/>
      <c r="R92" s="193"/>
      <c r="S92" s="415"/>
      <c r="T92" s="415"/>
      <c r="V92" s="295"/>
      <c r="W92" s="193"/>
      <c r="X92" s="415"/>
      <c r="Y92" s="415"/>
      <c r="AA92" s="295"/>
      <c r="AB92" s="193"/>
      <c r="AC92" s="415"/>
      <c r="AD92" s="415"/>
      <c r="AF92" s="295"/>
      <c r="AG92" s="193"/>
      <c r="AH92" s="415"/>
      <c r="AI92" s="415"/>
      <c r="AK92" s="295"/>
      <c r="AL92" s="193"/>
      <c r="AM92" s="415"/>
      <c r="AN92" s="415"/>
    </row>
    <row r="93" spans="2:40" s="318" customFormat="1" ht="12.75">
      <c r="B93" s="295"/>
      <c r="C93" s="193"/>
      <c r="D93" s="415"/>
      <c r="E93" s="415"/>
      <c r="G93" s="295"/>
      <c r="H93" s="193"/>
      <c r="I93" s="415"/>
      <c r="J93" s="415"/>
      <c r="L93" s="295"/>
      <c r="M93" s="193"/>
      <c r="N93" s="415"/>
      <c r="O93" s="415"/>
      <c r="Q93" s="295"/>
      <c r="R93" s="193"/>
      <c r="S93" s="415"/>
      <c r="T93" s="415"/>
      <c r="V93" s="295"/>
      <c r="W93" s="193"/>
      <c r="X93" s="415"/>
      <c r="Y93" s="415"/>
      <c r="AA93" s="295"/>
      <c r="AB93" s="193"/>
      <c r="AC93" s="415"/>
      <c r="AD93" s="415"/>
      <c r="AF93" s="295"/>
      <c r="AG93" s="193"/>
      <c r="AH93" s="415"/>
      <c r="AI93" s="415"/>
      <c r="AK93" s="295"/>
      <c r="AL93" s="193"/>
      <c r="AM93" s="415"/>
      <c r="AN93" s="415"/>
    </row>
    <row r="94" spans="2:29" ht="12.75">
      <c r="B94" s="102" t="s">
        <v>412</v>
      </c>
      <c r="C94" s="301"/>
      <c r="D94" s="301"/>
      <c r="E94" s="301"/>
      <c r="L94" s="301"/>
      <c r="M94" s="301"/>
      <c r="N94" s="301"/>
      <c r="O94" s="301"/>
      <c r="P94" s="301"/>
      <c r="AA94" s="301"/>
      <c r="AB94" s="301"/>
      <c r="AC94" s="301"/>
    </row>
    <row r="95" spans="2:29" ht="12.75">
      <c r="B95" s="102"/>
      <c r="C95" s="301"/>
      <c r="D95" s="301"/>
      <c r="E95" s="301"/>
      <c r="L95" s="301"/>
      <c r="M95" s="301"/>
      <c r="N95" s="301"/>
      <c r="O95" s="301"/>
      <c r="P95" s="301"/>
      <c r="AA95" s="301"/>
      <c r="AB95" s="301"/>
      <c r="AC95" s="301"/>
    </row>
    <row r="96" spans="2:37" s="301" customFormat="1" ht="12.75">
      <c r="B96" s="317" t="s">
        <v>139</v>
      </c>
      <c r="C96" s="318"/>
      <c r="D96" s="318"/>
      <c r="E96" s="318"/>
      <c r="F96" s="318"/>
      <c r="G96" s="319" t="s">
        <v>58</v>
      </c>
      <c r="L96" s="319" t="s">
        <v>141</v>
      </c>
      <c r="Q96" s="319" t="s">
        <v>388</v>
      </c>
      <c r="V96" s="317" t="s">
        <v>142</v>
      </c>
      <c r="AA96" s="319" t="s">
        <v>143</v>
      </c>
      <c r="AF96" s="319" t="s">
        <v>140</v>
      </c>
      <c r="AK96" s="103" t="s">
        <v>59</v>
      </c>
    </row>
    <row r="97" spans="2:40" s="301" customFormat="1" ht="12.75">
      <c r="B97" s="320" t="s">
        <v>412</v>
      </c>
      <c r="C97" s="321"/>
      <c r="D97" s="320" t="s">
        <v>346</v>
      </c>
      <c r="E97" s="322" t="s">
        <v>347</v>
      </c>
      <c r="G97" s="320" t="s">
        <v>412</v>
      </c>
      <c r="H97" s="321"/>
      <c r="I97" s="104" t="s">
        <v>346</v>
      </c>
      <c r="J97" s="122" t="s">
        <v>347</v>
      </c>
      <c r="L97" s="320" t="s">
        <v>412</v>
      </c>
      <c r="M97" s="321"/>
      <c r="N97" s="104" t="s">
        <v>346</v>
      </c>
      <c r="O97" s="117" t="s">
        <v>347</v>
      </c>
      <c r="Q97" s="320" t="s">
        <v>412</v>
      </c>
      <c r="R97" s="321"/>
      <c r="S97" s="104" t="s">
        <v>346</v>
      </c>
      <c r="T97" s="117" t="s">
        <v>347</v>
      </c>
      <c r="V97" s="320" t="s">
        <v>412</v>
      </c>
      <c r="W97" s="321"/>
      <c r="X97" s="104" t="s">
        <v>346</v>
      </c>
      <c r="Y97" s="117" t="s">
        <v>347</v>
      </c>
      <c r="AA97" s="320" t="s">
        <v>412</v>
      </c>
      <c r="AB97" s="321"/>
      <c r="AC97" s="104" t="s">
        <v>346</v>
      </c>
      <c r="AD97" s="117" t="s">
        <v>347</v>
      </c>
      <c r="AF97" s="320" t="s">
        <v>412</v>
      </c>
      <c r="AG97" s="321"/>
      <c r="AH97" s="104" t="s">
        <v>346</v>
      </c>
      <c r="AI97" s="117" t="s">
        <v>347</v>
      </c>
      <c r="AK97" s="320" t="s">
        <v>412</v>
      </c>
      <c r="AL97" s="321"/>
      <c r="AM97" s="104" t="s">
        <v>346</v>
      </c>
      <c r="AN97" s="117" t="s">
        <v>347</v>
      </c>
    </row>
    <row r="98" spans="2:41" s="301" customFormat="1" ht="12.75">
      <c r="B98" s="325" t="s">
        <v>398</v>
      </c>
      <c r="C98" s="326"/>
      <c r="D98" s="327">
        <v>17.36</v>
      </c>
      <c r="E98" s="328">
        <f>E167</f>
        <v>704.6697121973505</v>
      </c>
      <c r="G98" s="330" t="s">
        <v>413</v>
      </c>
      <c r="H98" s="331"/>
      <c r="I98" s="332">
        <v>14.07</v>
      </c>
      <c r="J98" s="333">
        <f>J167</f>
        <v>680</v>
      </c>
      <c r="L98" s="323"/>
      <c r="M98" s="335"/>
      <c r="N98" s="123"/>
      <c r="O98" s="119"/>
      <c r="Q98" s="330" t="s">
        <v>431</v>
      </c>
      <c r="R98" s="331"/>
      <c r="S98" s="332">
        <v>23.04</v>
      </c>
      <c r="T98" s="334">
        <f>T167</f>
        <v>0</v>
      </c>
      <c r="V98" s="336" t="s">
        <v>260</v>
      </c>
      <c r="W98" s="331"/>
      <c r="X98" s="337">
        <v>21.6</v>
      </c>
      <c r="Y98" s="416">
        <f>Y167</f>
        <v>34778</v>
      </c>
      <c r="AA98" s="325" t="s">
        <v>441</v>
      </c>
      <c r="AB98" s="331"/>
      <c r="AC98" s="332">
        <v>18.09</v>
      </c>
      <c r="AD98" s="333">
        <f>AD167</f>
        <v>261</v>
      </c>
      <c r="AE98" s="341"/>
      <c r="AF98" s="325" t="s">
        <v>457</v>
      </c>
      <c r="AG98" s="326"/>
      <c r="AH98" s="332">
        <v>15.23</v>
      </c>
      <c r="AI98" s="334">
        <f>AI167</f>
        <v>9172.688645745211</v>
      </c>
      <c r="AK98" s="330" t="s">
        <v>466</v>
      </c>
      <c r="AL98" s="331"/>
      <c r="AM98" s="339">
        <v>132.79</v>
      </c>
      <c r="AN98" s="340">
        <f>AN167</f>
        <v>0</v>
      </c>
      <c r="AO98" s="341"/>
    </row>
    <row r="99" spans="2:41" s="301" customFormat="1" ht="12.75">
      <c r="B99" s="330" t="s">
        <v>399</v>
      </c>
      <c r="C99" s="338"/>
      <c r="D99" s="342">
        <v>17.66</v>
      </c>
      <c r="E99" s="343">
        <f aca="true" t="shared" si="40" ref="E99:E113">E168</f>
        <v>256.8350019581515</v>
      </c>
      <c r="G99" s="330" t="s">
        <v>414</v>
      </c>
      <c r="H99" s="344"/>
      <c r="I99" s="345">
        <v>22.89</v>
      </c>
      <c r="J99" s="346">
        <f aca="true" t="shared" si="41" ref="J99:J108">J168</f>
        <v>7147</v>
      </c>
      <c r="L99" s="330" t="s">
        <v>420</v>
      </c>
      <c r="M99" s="338"/>
      <c r="N99" s="418">
        <v>14</v>
      </c>
      <c r="O99" s="334">
        <f>O168</f>
        <v>44844.573333333334</v>
      </c>
      <c r="Q99" s="330" t="s">
        <v>262</v>
      </c>
      <c r="R99" s="344"/>
      <c r="S99" s="345">
        <v>23.92</v>
      </c>
      <c r="T99" s="347">
        <f aca="true" t="shared" si="42" ref="T99:T108">T168</f>
        <v>600</v>
      </c>
      <c r="V99" s="348" t="s">
        <v>264</v>
      </c>
      <c r="W99" s="344"/>
      <c r="X99" s="349">
        <v>28.27</v>
      </c>
      <c r="Y99" s="355">
        <f aca="true" t="shared" si="43" ref="Y99:Y108">Y168</f>
        <v>20149</v>
      </c>
      <c r="AA99" s="330" t="s">
        <v>442</v>
      </c>
      <c r="AB99" s="344"/>
      <c r="AC99" s="345">
        <v>21.2</v>
      </c>
      <c r="AD99" s="346">
        <f aca="true" t="shared" si="44" ref="AD99:AD113">AD168</f>
        <v>583</v>
      </c>
      <c r="AE99" s="341"/>
      <c r="AF99" s="330" t="s">
        <v>458</v>
      </c>
      <c r="AG99" s="338"/>
      <c r="AH99" s="345">
        <v>21.06</v>
      </c>
      <c r="AI99" s="347">
        <f aca="true" t="shared" si="45" ref="AI99:AI109">AI168</f>
        <v>32266.73986069841</v>
      </c>
      <c r="AK99" s="330" t="s">
        <v>467</v>
      </c>
      <c r="AL99" s="344"/>
      <c r="AM99" s="350">
        <v>129</v>
      </c>
      <c r="AN99" s="351">
        <f aca="true" t="shared" si="46" ref="AN99:AN114">AN168</f>
        <v>901.277411344766</v>
      </c>
      <c r="AO99" s="341"/>
    </row>
    <row r="100" spans="2:41" s="301" customFormat="1" ht="12.75">
      <c r="B100" s="330" t="s">
        <v>340</v>
      </c>
      <c r="C100" s="338"/>
      <c r="D100" s="352">
        <v>24.73</v>
      </c>
      <c r="E100" s="353">
        <f t="shared" si="40"/>
        <v>1218.6744561070743</v>
      </c>
      <c r="G100" s="330" t="s">
        <v>340</v>
      </c>
      <c r="H100" s="344"/>
      <c r="I100" s="354">
        <v>27.97</v>
      </c>
      <c r="J100" s="349">
        <f t="shared" si="41"/>
        <v>798</v>
      </c>
      <c r="L100" s="330" t="s">
        <v>421</v>
      </c>
      <c r="M100" s="338"/>
      <c r="N100" s="420">
        <v>16</v>
      </c>
      <c r="O100" s="347">
        <f aca="true" t="shared" si="47" ref="O100:O111">O169</f>
        <v>90185.23529411765</v>
      </c>
      <c r="Q100" s="330" t="s">
        <v>432</v>
      </c>
      <c r="R100" s="344"/>
      <c r="S100" s="354">
        <v>27.49</v>
      </c>
      <c r="T100" s="355">
        <f t="shared" si="42"/>
        <v>664</v>
      </c>
      <c r="V100" s="348" t="s">
        <v>270</v>
      </c>
      <c r="W100" s="344"/>
      <c r="X100" s="349">
        <v>29.19</v>
      </c>
      <c r="Y100" s="355">
        <f t="shared" si="43"/>
        <v>17327</v>
      </c>
      <c r="AA100" s="330" t="s">
        <v>443</v>
      </c>
      <c r="AB100" s="344"/>
      <c r="AC100" s="354">
        <v>24.49</v>
      </c>
      <c r="AD100" s="349">
        <f t="shared" si="44"/>
        <v>0</v>
      </c>
      <c r="AE100" s="341"/>
      <c r="AF100" s="330" t="s">
        <v>340</v>
      </c>
      <c r="AG100" s="338"/>
      <c r="AH100" s="354">
        <v>27.45</v>
      </c>
      <c r="AI100" s="355">
        <f t="shared" si="45"/>
        <v>7784.042171266582</v>
      </c>
      <c r="AK100" s="330" t="s">
        <v>468</v>
      </c>
      <c r="AL100" s="344"/>
      <c r="AM100" s="350">
        <v>547.54</v>
      </c>
      <c r="AN100" s="351">
        <f t="shared" si="46"/>
        <v>47</v>
      </c>
      <c r="AO100" s="341"/>
    </row>
    <row r="101" spans="2:41" s="301" customFormat="1" ht="12.75">
      <c r="B101" s="330" t="s">
        <v>339</v>
      </c>
      <c r="C101" s="338"/>
      <c r="D101" s="352">
        <v>24.73</v>
      </c>
      <c r="E101" s="353">
        <f t="shared" si="40"/>
        <v>0</v>
      </c>
      <c r="G101" s="330" t="s">
        <v>339</v>
      </c>
      <c r="H101" s="344"/>
      <c r="I101" s="354">
        <v>29.66</v>
      </c>
      <c r="J101" s="349">
        <f t="shared" si="41"/>
        <v>901</v>
      </c>
      <c r="L101" s="330" t="s">
        <v>422</v>
      </c>
      <c r="M101" s="338"/>
      <c r="N101" s="420">
        <v>16</v>
      </c>
      <c r="O101" s="347">
        <f t="shared" si="47"/>
        <v>0</v>
      </c>
      <c r="Q101" s="330" t="s">
        <v>433</v>
      </c>
      <c r="R101" s="344"/>
      <c r="S101" s="354">
        <v>48.01</v>
      </c>
      <c r="T101" s="355">
        <f t="shared" si="42"/>
        <v>1002.5796637309847</v>
      </c>
      <c r="V101" s="348" t="s">
        <v>276</v>
      </c>
      <c r="W101" s="344"/>
      <c r="X101" s="356">
        <v>38.63</v>
      </c>
      <c r="Y101" s="360">
        <f t="shared" si="43"/>
        <v>30283</v>
      </c>
      <c r="AA101" s="330" t="s">
        <v>444</v>
      </c>
      <c r="AB101" s="344"/>
      <c r="AC101" s="354">
        <v>24.49</v>
      </c>
      <c r="AD101" s="349">
        <f t="shared" si="44"/>
        <v>12</v>
      </c>
      <c r="AE101" s="341"/>
      <c r="AF101" s="330" t="s">
        <v>459</v>
      </c>
      <c r="AG101" s="338"/>
      <c r="AH101" s="354">
        <v>27.45</v>
      </c>
      <c r="AI101" s="355">
        <f t="shared" si="45"/>
        <v>9151.1713034554</v>
      </c>
      <c r="AK101" s="330" t="s">
        <v>469</v>
      </c>
      <c r="AL101" s="344"/>
      <c r="AM101" s="350">
        <v>318.72</v>
      </c>
      <c r="AN101" s="351">
        <f t="shared" si="46"/>
        <v>0</v>
      </c>
      <c r="AO101" s="341"/>
    </row>
    <row r="102" spans="2:41" s="301" customFormat="1" ht="12.75">
      <c r="B102" s="330" t="s">
        <v>400</v>
      </c>
      <c r="C102" s="338"/>
      <c r="D102" s="352">
        <v>24.73</v>
      </c>
      <c r="E102" s="353">
        <f t="shared" si="40"/>
        <v>0</v>
      </c>
      <c r="G102" s="330" t="s">
        <v>400</v>
      </c>
      <c r="H102" s="344"/>
      <c r="I102" s="354">
        <v>29.66</v>
      </c>
      <c r="J102" s="349">
        <f t="shared" si="41"/>
        <v>143</v>
      </c>
      <c r="L102" s="330" t="s">
        <v>423</v>
      </c>
      <c r="M102" s="338"/>
      <c r="N102" s="421">
        <v>16</v>
      </c>
      <c r="O102" s="355">
        <f t="shared" si="47"/>
        <v>0</v>
      </c>
      <c r="Q102" s="330" t="s">
        <v>434</v>
      </c>
      <c r="R102" s="344"/>
      <c r="S102" s="357">
        <v>48.01</v>
      </c>
      <c r="T102" s="360">
        <f t="shared" si="42"/>
        <v>2657</v>
      </c>
      <c r="V102" s="348" t="s">
        <v>284</v>
      </c>
      <c r="W102" s="344"/>
      <c r="X102" s="356">
        <v>47.82</v>
      </c>
      <c r="Y102" s="360">
        <f t="shared" si="43"/>
        <v>31083</v>
      </c>
      <c r="AA102" s="330" t="s">
        <v>445</v>
      </c>
      <c r="AB102" s="344"/>
      <c r="AC102" s="354">
        <v>27.66</v>
      </c>
      <c r="AD102" s="349">
        <f t="shared" si="44"/>
        <v>49</v>
      </c>
      <c r="AE102" s="341"/>
      <c r="AF102" s="330" t="s">
        <v>460</v>
      </c>
      <c r="AG102" s="338"/>
      <c r="AH102" s="354">
        <v>32.58</v>
      </c>
      <c r="AI102" s="355">
        <f t="shared" si="45"/>
        <v>7496.316917832678</v>
      </c>
      <c r="AK102" s="330" t="s">
        <v>470</v>
      </c>
      <c r="AL102" s="344"/>
      <c r="AM102" s="358">
        <v>301.85</v>
      </c>
      <c r="AN102" s="359">
        <f t="shared" si="46"/>
        <v>185</v>
      </c>
      <c r="AO102" s="341"/>
    </row>
    <row r="103" spans="2:41" s="301" customFormat="1" ht="12.75">
      <c r="B103" s="330" t="s">
        <v>401</v>
      </c>
      <c r="C103" s="338"/>
      <c r="D103" s="352">
        <v>24.73</v>
      </c>
      <c r="E103" s="353">
        <f t="shared" si="40"/>
        <v>0</v>
      </c>
      <c r="G103" s="330" t="s">
        <v>401</v>
      </c>
      <c r="H103" s="344"/>
      <c r="I103" s="354">
        <v>29.66</v>
      </c>
      <c r="J103" s="349">
        <f t="shared" si="41"/>
        <v>1623</v>
      </c>
      <c r="L103" s="330" t="s">
        <v>424</v>
      </c>
      <c r="M103" s="338"/>
      <c r="N103" s="421">
        <v>16</v>
      </c>
      <c r="O103" s="355">
        <f t="shared" si="47"/>
        <v>0</v>
      </c>
      <c r="Q103" s="330" t="s">
        <v>435</v>
      </c>
      <c r="R103" s="344"/>
      <c r="S103" s="357">
        <v>52.49</v>
      </c>
      <c r="T103" s="360">
        <f t="shared" si="42"/>
        <v>1770</v>
      </c>
      <c r="V103" s="348" t="s">
        <v>292</v>
      </c>
      <c r="W103" s="344"/>
      <c r="X103" s="356">
        <v>103.93</v>
      </c>
      <c r="Y103" s="360">
        <f t="shared" si="43"/>
        <v>24364</v>
      </c>
      <c r="AA103" s="330" t="s">
        <v>446</v>
      </c>
      <c r="AB103" s="344"/>
      <c r="AC103" s="354">
        <v>27.66</v>
      </c>
      <c r="AD103" s="349">
        <f t="shared" si="44"/>
        <v>20</v>
      </c>
      <c r="AE103" s="341"/>
      <c r="AF103" s="330" t="s">
        <v>461</v>
      </c>
      <c r="AG103" s="338"/>
      <c r="AH103" s="357">
        <v>45.92</v>
      </c>
      <c r="AI103" s="360">
        <f t="shared" si="45"/>
        <v>19641.156095032522</v>
      </c>
      <c r="AK103" s="330" t="s">
        <v>471</v>
      </c>
      <c r="AL103" s="344"/>
      <c r="AM103" s="358">
        <v>143</v>
      </c>
      <c r="AN103" s="359">
        <f t="shared" si="46"/>
        <v>410</v>
      </c>
      <c r="AO103" s="341"/>
    </row>
    <row r="104" spans="2:41" s="301" customFormat="1" ht="12.75">
      <c r="B104" s="330" t="s">
        <v>402</v>
      </c>
      <c r="C104" s="338"/>
      <c r="D104" s="361">
        <v>31.77</v>
      </c>
      <c r="E104" s="362">
        <f t="shared" si="40"/>
        <v>370</v>
      </c>
      <c r="G104" s="330" t="s">
        <v>415</v>
      </c>
      <c r="H104" s="344"/>
      <c r="I104" s="357">
        <v>44.09</v>
      </c>
      <c r="J104" s="356">
        <f t="shared" si="41"/>
        <v>6788</v>
      </c>
      <c r="L104" s="330" t="s">
        <v>400</v>
      </c>
      <c r="M104" s="338"/>
      <c r="N104" s="421">
        <v>21</v>
      </c>
      <c r="O104" s="355">
        <f t="shared" si="47"/>
        <v>39048.40909090909</v>
      </c>
      <c r="Q104" s="330" t="s">
        <v>436</v>
      </c>
      <c r="R104" s="344"/>
      <c r="S104" s="357">
        <v>90.3</v>
      </c>
      <c r="T104" s="360">
        <f t="shared" si="42"/>
        <v>744</v>
      </c>
      <c r="V104" s="348" t="s">
        <v>300</v>
      </c>
      <c r="W104" s="363"/>
      <c r="X104" s="364">
        <v>103.93</v>
      </c>
      <c r="Y104" s="366">
        <f t="shared" si="43"/>
        <v>3916</v>
      </c>
      <c r="AA104" s="330" t="s">
        <v>447</v>
      </c>
      <c r="AB104" s="344"/>
      <c r="AC104" s="357">
        <v>31.95</v>
      </c>
      <c r="AD104" s="356">
        <f t="shared" si="44"/>
        <v>0</v>
      </c>
      <c r="AE104" s="341"/>
      <c r="AF104" s="330" t="s">
        <v>462</v>
      </c>
      <c r="AG104" s="338"/>
      <c r="AH104" s="357">
        <v>47.17</v>
      </c>
      <c r="AI104" s="360">
        <f t="shared" si="45"/>
        <v>54371.92602971542</v>
      </c>
      <c r="AK104" s="330" t="s">
        <v>472</v>
      </c>
      <c r="AL104" s="344"/>
      <c r="AM104" s="358">
        <v>143</v>
      </c>
      <c r="AN104" s="359">
        <f t="shared" si="46"/>
        <v>0</v>
      </c>
      <c r="AO104" s="341"/>
    </row>
    <row r="105" spans="2:41" s="301" customFormat="1" ht="12.75">
      <c r="B105" s="330" t="s">
        <v>403</v>
      </c>
      <c r="C105" s="338"/>
      <c r="D105" s="361">
        <v>31.77</v>
      </c>
      <c r="E105" s="362">
        <f t="shared" si="40"/>
        <v>0</v>
      </c>
      <c r="G105" s="330" t="s">
        <v>416</v>
      </c>
      <c r="H105" s="344"/>
      <c r="I105" s="357">
        <v>84.79</v>
      </c>
      <c r="J105" s="356">
        <f t="shared" si="41"/>
        <v>825</v>
      </c>
      <c r="L105" s="330" t="s">
        <v>401</v>
      </c>
      <c r="M105" s="338"/>
      <c r="N105" s="421">
        <v>21</v>
      </c>
      <c r="O105" s="355">
        <f t="shared" si="47"/>
        <v>0</v>
      </c>
      <c r="Q105" s="330" t="s">
        <v>437</v>
      </c>
      <c r="R105" s="344"/>
      <c r="S105" s="365">
        <v>90.3</v>
      </c>
      <c r="T105" s="366">
        <f t="shared" si="42"/>
        <v>0</v>
      </c>
      <c r="V105" s="348" t="s">
        <v>359</v>
      </c>
      <c r="W105" s="344"/>
      <c r="X105" s="364">
        <v>103.93</v>
      </c>
      <c r="Y105" s="366">
        <f t="shared" si="43"/>
        <v>5946</v>
      </c>
      <c r="AA105" s="330" t="s">
        <v>448</v>
      </c>
      <c r="AB105" s="344"/>
      <c r="AC105" s="357">
        <v>31.95</v>
      </c>
      <c r="AD105" s="356">
        <f t="shared" si="44"/>
        <v>336</v>
      </c>
      <c r="AE105" s="341"/>
      <c r="AF105" s="330" t="s">
        <v>463</v>
      </c>
      <c r="AG105" s="329"/>
      <c r="AH105" s="357">
        <v>81.81</v>
      </c>
      <c r="AI105" s="360">
        <f t="shared" si="45"/>
        <v>8897.004869645358</v>
      </c>
      <c r="AK105" s="330" t="s">
        <v>473</v>
      </c>
      <c r="AL105" s="344"/>
      <c r="AM105" s="358">
        <v>107.26</v>
      </c>
      <c r="AN105" s="359">
        <f t="shared" si="46"/>
        <v>175</v>
      </c>
      <c r="AO105" s="341"/>
    </row>
    <row r="106" spans="2:41" s="301" customFormat="1" ht="12.75">
      <c r="B106" s="330" t="s">
        <v>404</v>
      </c>
      <c r="C106" s="338"/>
      <c r="D106" s="361">
        <v>38.86</v>
      </c>
      <c r="E106" s="362">
        <f t="shared" si="40"/>
        <v>621.4143327841845</v>
      </c>
      <c r="G106" s="330" t="s">
        <v>417</v>
      </c>
      <c r="H106" s="344"/>
      <c r="I106" s="365">
        <v>84.79</v>
      </c>
      <c r="J106" s="364">
        <f t="shared" si="41"/>
        <v>6805</v>
      </c>
      <c r="L106" s="330" t="s">
        <v>425</v>
      </c>
      <c r="M106" s="338"/>
      <c r="N106" s="423">
        <v>26</v>
      </c>
      <c r="O106" s="360">
        <f t="shared" si="47"/>
        <v>142120</v>
      </c>
      <c r="Q106" s="330" t="s">
        <v>438</v>
      </c>
      <c r="R106" s="344"/>
      <c r="S106" s="365">
        <v>90.3</v>
      </c>
      <c r="T106" s="366">
        <f t="shared" si="42"/>
        <v>0</v>
      </c>
      <c r="V106" s="348" t="s">
        <v>314</v>
      </c>
      <c r="W106" s="344"/>
      <c r="X106" s="364">
        <v>103.93</v>
      </c>
      <c r="Y106" s="366">
        <f t="shared" si="43"/>
        <v>5076.666666666667</v>
      </c>
      <c r="AA106" s="330" t="s">
        <v>449</v>
      </c>
      <c r="AB106" s="344"/>
      <c r="AC106" s="357">
        <v>37.29</v>
      </c>
      <c r="AD106" s="356">
        <f t="shared" si="44"/>
        <v>440</v>
      </c>
      <c r="AE106" s="341"/>
      <c r="AF106" s="330" t="s">
        <v>464</v>
      </c>
      <c r="AG106" s="169"/>
      <c r="AH106" s="365">
        <v>98.63</v>
      </c>
      <c r="AI106" s="366">
        <f t="shared" si="45"/>
        <v>833.3088468242107</v>
      </c>
      <c r="AK106" s="330" t="s">
        <v>32</v>
      </c>
      <c r="AL106" s="344"/>
      <c r="AM106" s="358">
        <v>68.99</v>
      </c>
      <c r="AN106" s="359">
        <f t="shared" si="46"/>
        <v>920</v>
      </c>
      <c r="AO106" s="341"/>
    </row>
    <row r="107" spans="2:41" s="301" customFormat="1" ht="12.75">
      <c r="B107" s="330" t="s">
        <v>405</v>
      </c>
      <c r="C107" s="338"/>
      <c r="D107" s="361">
        <v>38.86</v>
      </c>
      <c r="E107" s="362">
        <f t="shared" si="40"/>
        <v>1888.782482903735</v>
      </c>
      <c r="G107" s="330" t="s">
        <v>418</v>
      </c>
      <c r="H107" s="344"/>
      <c r="I107" s="365">
        <v>84.79</v>
      </c>
      <c r="J107" s="364">
        <f t="shared" si="41"/>
        <v>0</v>
      </c>
      <c r="L107" s="330" t="s">
        <v>426</v>
      </c>
      <c r="M107" s="338"/>
      <c r="N107" s="423">
        <v>26</v>
      </c>
      <c r="O107" s="360">
        <f t="shared" si="47"/>
        <v>0</v>
      </c>
      <c r="Q107" s="330" t="s">
        <v>439</v>
      </c>
      <c r="R107" s="344"/>
      <c r="S107" s="365">
        <v>132.67</v>
      </c>
      <c r="T107" s="366">
        <f t="shared" si="42"/>
        <v>0</v>
      </c>
      <c r="V107" s="348" t="s">
        <v>322</v>
      </c>
      <c r="W107" s="344"/>
      <c r="X107" s="364">
        <v>173.83</v>
      </c>
      <c r="Y107" s="366">
        <f t="shared" si="43"/>
        <v>9135</v>
      </c>
      <c r="AA107" s="330" t="s">
        <v>450</v>
      </c>
      <c r="AB107" s="344"/>
      <c r="AC107" s="357">
        <v>37.29</v>
      </c>
      <c r="AD107" s="356">
        <f t="shared" si="44"/>
        <v>345</v>
      </c>
      <c r="AE107" s="341"/>
      <c r="AF107" s="330" t="s">
        <v>465</v>
      </c>
      <c r="AG107" s="169"/>
      <c r="AH107" s="365">
        <v>103.99</v>
      </c>
      <c r="AI107" s="366">
        <f t="shared" si="45"/>
        <v>2116.3176612666725</v>
      </c>
      <c r="AK107" s="330" t="s">
        <v>33</v>
      </c>
      <c r="AL107" s="344"/>
      <c r="AM107" s="358">
        <v>59.07</v>
      </c>
      <c r="AN107" s="359">
        <f t="shared" si="46"/>
        <v>208</v>
      </c>
      <c r="AO107" s="341"/>
    </row>
    <row r="108" spans="2:41" s="301" customFormat="1" ht="12.75">
      <c r="B108" s="330" t="s">
        <v>406</v>
      </c>
      <c r="C108" s="338"/>
      <c r="D108" s="361">
        <v>63.58</v>
      </c>
      <c r="E108" s="362">
        <f t="shared" si="40"/>
        <v>401.27953705192095</v>
      </c>
      <c r="G108" s="330" t="s">
        <v>419</v>
      </c>
      <c r="H108" s="344"/>
      <c r="I108" s="365">
        <v>133.98</v>
      </c>
      <c r="J108" s="364">
        <f t="shared" si="41"/>
        <v>9850</v>
      </c>
      <c r="L108" s="330" t="s">
        <v>427</v>
      </c>
      <c r="M108" s="338"/>
      <c r="N108" s="423">
        <v>60</v>
      </c>
      <c r="O108" s="360">
        <f t="shared" si="47"/>
        <v>23091.04761904762</v>
      </c>
      <c r="Q108" s="330" t="s">
        <v>440</v>
      </c>
      <c r="R108" s="344"/>
      <c r="S108" s="365">
        <v>180.15</v>
      </c>
      <c r="T108" s="366">
        <f t="shared" si="42"/>
        <v>0</v>
      </c>
      <c r="V108" s="348" t="s">
        <v>329</v>
      </c>
      <c r="W108" s="344"/>
      <c r="X108" s="368">
        <v>16.35</v>
      </c>
      <c r="Y108" s="424">
        <f t="shared" si="43"/>
        <v>17007</v>
      </c>
      <c r="AA108" s="330" t="s">
        <v>451</v>
      </c>
      <c r="AB108" s="344"/>
      <c r="AC108" s="357">
        <v>53.21</v>
      </c>
      <c r="AD108" s="356">
        <f t="shared" si="44"/>
        <v>85</v>
      </c>
      <c r="AE108" s="341"/>
      <c r="AF108" s="330" t="s">
        <v>289</v>
      </c>
      <c r="AG108" s="169"/>
      <c r="AH108" s="365">
        <v>139.91</v>
      </c>
      <c r="AI108" s="366">
        <f t="shared" si="45"/>
        <v>10973.974274301996</v>
      </c>
      <c r="AK108" s="330" t="s">
        <v>34</v>
      </c>
      <c r="AL108" s="344"/>
      <c r="AM108" s="358">
        <v>35.75</v>
      </c>
      <c r="AN108" s="359">
        <f t="shared" si="46"/>
        <v>1448</v>
      </c>
      <c r="AO108" s="341"/>
    </row>
    <row r="109" spans="2:41" s="301" customFormat="1" ht="12.75">
      <c r="B109" s="330" t="s">
        <v>407</v>
      </c>
      <c r="C109" s="338"/>
      <c r="D109" s="361">
        <v>135.55</v>
      </c>
      <c r="E109" s="362">
        <f t="shared" si="40"/>
        <v>90</v>
      </c>
      <c r="G109" s="369"/>
      <c r="H109" s="370"/>
      <c r="I109" s="371"/>
      <c r="J109" s="375"/>
      <c r="L109" s="330" t="s">
        <v>428</v>
      </c>
      <c r="M109" s="338"/>
      <c r="N109" s="425">
        <v>60</v>
      </c>
      <c r="O109" s="366">
        <f t="shared" si="47"/>
        <v>12149.47619047619</v>
      </c>
      <c r="Q109" s="369"/>
      <c r="R109" s="370"/>
      <c r="S109" s="371"/>
      <c r="T109" s="426"/>
      <c r="V109" s="369"/>
      <c r="W109" s="370"/>
      <c r="X109" s="376"/>
      <c r="Y109" s="427"/>
      <c r="AA109" s="330" t="s">
        <v>452</v>
      </c>
      <c r="AB109" s="344"/>
      <c r="AC109" s="357">
        <v>101.24</v>
      </c>
      <c r="AD109" s="356">
        <f t="shared" si="44"/>
        <v>180</v>
      </c>
      <c r="AE109" s="341"/>
      <c r="AF109" s="372" t="s">
        <v>297</v>
      </c>
      <c r="AG109" s="373"/>
      <c r="AH109" s="365">
        <v>159.46</v>
      </c>
      <c r="AI109" s="366">
        <f t="shared" si="45"/>
        <v>4433.579251212189</v>
      </c>
      <c r="AK109" s="330" t="s">
        <v>401</v>
      </c>
      <c r="AL109" s="344"/>
      <c r="AM109" s="378">
        <v>30.64</v>
      </c>
      <c r="AN109" s="379">
        <f t="shared" si="46"/>
        <v>64</v>
      </c>
      <c r="AO109" s="341"/>
    </row>
    <row r="110" spans="2:41" s="301" customFormat="1" ht="12.75">
      <c r="B110" s="330" t="s">
        <v>408</v>
      </c>
      <c r="C110" s="329"/>
      <c r="D110" s="380">
        <v>150.75</v>
      </c>
      <c r="E110" s="381">
        <f t="shared" si="40"/>
        <v>0</v>
      </c>
      <c r="L110" s="330" t="s">
        <v>429</v>
      </c>
      <c r="M110" s="338"/>
      <c r="N110" s="425">
        <v>109</v>
      </c>
      <c r="O110" s="366">
        <f t="shared" si="47"/>
        <v>12899.182608695652</v>
      </c>
      <c r="AA110" s="330" t="s">
        <v>453</v>
      </c>
      <c r="AB110" s="363"/>
      <c r="AC110" s="365">
        <v>101.24</v>
      </c>
      <c r="AD110" s="364">
        <f t="shared" si="44"/>
        <v>0</v>
      </c>
      <c r="AE110" s="341"/>
      <c r="AF110" s="382"/>
      <c r="AG110" s="383"/>
      <c r="AH110" s="384"/>
      <c r="AI110" s="385"/>
      <c r="AK110" s="330" t="s">
        <v>400</v>
      </c>
      <c r="AL110" s="363"/>
      <c r="AM110" s="378">
        <v>30.64</v>
      </c>
      <c r="AN110" s="379">
        <f t="shared" si="46"/>
        <v>10</v>
      </c>
      <c r="AO110" s="341"/>
    </row>
    <row r="111" spans="2:41" ht="12.75">
      <c r="B111" s="330" t="s">
        <v>409</v>
      </c>
      <c r="C111" s="386"/>
      <c r="D111" s="380">
        <v>150.75</v>
      </c>
      <c r="E111" s="381">
        <f t="shared" si="40"/>
        <v>0</v>
      </c>
      <c r="L111" s="330" t="s">
        <v>430</v>
      </c>
      <c r="M111" s="329"/>
      <c r="N111" s="425">
        <v>128</v>
      </c>
      <c r="O111" s="366">
        <f t="shared" si="47"/>
        <v>16479.17037037037</v>
      </c>
      <c r="AA111" s="330" t="s">
        <v>454</v>
      </c>
      <c r="AB111" s="429"/>
      <c r="AC111" s="365">
        <v>101.24</v>
      </c>
      <c r="AD111" s="364">
        <f t="shared" si="44"/>
        <v>0</v>
      </c>
      <c r="AE111" s="341"/>
      <c r="AK111" s="330" t="s">
        <v>339</v>
      </c>
      <c r="AL111" s="363"/>
      <c r="AM111" s="378">
        <v>30.64</v>
      </c>
      <c r="AN111" s="379">
        <f t="shared" si="46"/>
        <v>2563</v>
      </c>
      <c r="AO111" s="341"/>
    </row>
    <row r="112" spans="2:41" ht="12.75">
      <c r="B112" s="330" t="s">
        <v>410</v>
      </c>
      <c r="C112" s="386"/>
      <c r="D112" s="380">
        <v>150.75</v>
      </c>
      <c r="E112" s="381">
        <f t="shared" si="40"/>
        <v>0</v>
      </c>
      <c r="L112" s="395"/>
      <c r="M112" s="396"/>
      <c r="N112" s="391"/>
      <c r="O112" s="391"/>
      <c r="Q112" s="392"/>
      <c r="AA112" s="330" t="s">
        <v>455</v>
      </c>
      <c r="AB112" s="429"/>
      <c r="AC112" s="365">
        <v>177.1</v>
      </c>
      <c r="AD112" s="364">
        <f t="shared" si="44"/>
        <v>0</v>
      </c>
      <c r="AE112" s="341"/>
      <c r="AK112" s="330" t="s">
        <v>340</v>
      </c>
      <c r="AL112" s="363"/>
      <c r="AM112" s="378">
        <v>25.53</v>
      </c>
      <c r="AN112" s="379">
        <f t="shared" si="46"/>
        <v>407.5</v>
      </c>
      <c r="AO112" s="341"/>
    </row>
    <row r="113" spans="2:41" ht="12.75">
      <c r="B113" s="372" t="s">
        <v>411</v>
      </c>
      <c r="C113" s="390"/>
      <c r="D113" s="380">
        <v>150.75</v>
      </c>
      <c r="E113" s="381">
        <f t="shared" si="40"/>
        <v>0</v>
      </c>
      <c r="AA113" s="330" t="s">
        <v>456</v>
      </c>
      <c r="AB113" s="429"/>
      <c r="AC113" s="365">
        <v>224.76</v>
      </c>
      <c r="AD113" s="364">
        <f t="shared" si="44"/>
        <v>0</v>
      </c>
      <c r="AE113" s="341"/>
      <c r="AK113" s="330" t="s">
        <v>260</v>
      </c>
      <c r="AL113" s="363"/>
      <c r="AM113" s="393">
        <v>25.53</v>
      </c>
      <c r="AN113" s="394">
        <f t="shared" si="46"/>
        <v>356</v>
      </c>
      <c r="AO113" s="341"/>
    </row>
    <row r="114" spans="2:41" ht="12.75">
      <c r="B114" s="395"/>
      <c r="C114" s="396"/>
      <c r="D114" s="431"/>
      <c r="E114" s="432"/>
      <c r="AA114" s="433"/>
      <c r="AB114" s="434"/>
      <c r="AC114" s="431"/>
      <c r="AD114" s="431"/>
      <c r="AK114" s="330" t="s">
        <v>35</v>
      </c>
      <c r="AL114" s="363"/>
      <c r="AM114" s="435">
        <v>17.67</v>
      </c>
      <c r="AN114" s="445">
        <f t="shared" si="46"/>
        <v>992</v>
      </c>
      <c r="AO114" s="341"/>
    </row>
    <row r="115" spans="37:40" ht="12.75">
      <c r="AK115" s="369"/>
      <c r="AL115" s="370"/>
      <c r="AM115" s="400"/>
      <c r="AN115" s="401"/>
    </row>
    <row r="116" spans="2:40" s="301" customFormat="1" ht="12.75">
      <c r="B116" s="402" t="s">
        <v>381</v>
      </c>
      <c r="C116" s="383"/>
      <c r="D116" s="403">
        <f>SUMPRODUCT(D98:D114,E98:E114)</f>
        <v>193920.59286124856</v>
      </c>
      <c r="G116" s="402" t="s">
        <v>381</v>
      </c>
      <c r="H116" s="383"/>
      <c r="I116" s="403">
        <f>SUMPRODUCT(I98:I114,J98:J114)</f>
        <v>2540519.33</v>
      </c>
      <c r="L116" s="402" t="s">
        <v>381</v>
      </c>
      <c r="M116" s="383"/>
      <c r="N116" s="403">
        <f>SUMPRODUCT(N99:N114,O99:O114)</f>
        <v>12215700.5226083</v>
      </c>
      <c r="Q116" s="402" t="s">
        <v>381</v>
      </c>
      <c r="R116" s="383"/>
      <c r="S116" s="403">
        <f>SUMPRODUCT(S98:S114,T98:T114)</f>
        <v>368392.2796557246</v>
      </c>
      <c r="V116" s="402" t="s">
        <v>381</v>
      </c>
      <c r="W116" s="383"/>
      <c r="X116" s="403">
        <f>SUMPRODUCT(X98:X114,Y98:Y114)</f>
        <v>10433541.156666666</v>
      </c>
      <c r="AA116" s="402" t="s">
        <v>381</v>
      </c>
      <c r="AB116" s="383"/>
      <c r="AC116" s="403">
        <f>SUMPRODUCT(AC98:AC114,AD98:AD114)</f>
        <v>82037.41</v>
      </c>
      <c r="AF116" s="402" t="s">
        <v>381</v>
      </c>
      <c r="AG116" s="383"/>
      <c r="AH116" s="403">
        <f>SUMPRODUCT(AH98:AH114,AI98:AI114)</f>
        <v>8267461.224969653</v>
      </c>
      <c r="AK116" s="402" t="s">
        <v>381</v>
      </c>
      <c r="AL116" s="383"/>
      <c r="AM116" s="403">
        <f>SUMPRODUCT(AM98:AM114,AN98:AN114)</f>
        <v>520583.75106347486</v>
      </c>
      <c r="AN116" s="404"/>
    </row>
    <row r="118" spans="2:37" s="301" customFormat="1" ht="12.75">
      <c r="B118" s="317" t="s">
        <v>139</v>
      </c>
      <c r="C118" s="318"/>
      <c r="D118" s="318"/>
      <c r="E118" s="318"/>
      <c r="F118" s="318"/>
      <c r="G118" s="319" t="s">
        <v>58</v>
      </c>
      <c r="L118" s="319" t="s">
        <v>141</v>
      </c>
      <c r="Q118" s="319" t="s">
        <v>388</v>
      </c>
      <c r="V118" s="317" t="s">
        <v>142</v>
      </c>
      <c r="AA118" s="319" t="s">
        <v>143</v>
      </c>
      <c r="AF118" s="319" t="s">
        <v>140</v>
      </c>
      <c r="AK118" s="103" t="s">
        <v>59</v>
      </c>
    </row>
    <row r="119" spans="2:40" s="301" customFormat="1" ht="12.75">
      <c r="B119" s="320" t="s">
        <v>412</v>
      </c>
      <c r="C119" s="383"/>
      <c r="D119" s="104" t="s">
        <v>346</v>
      </c>
      <c r="E119" s="105" t="s">
        <v>347</v>
      </c>
      <c r="G119" s="320" t="s">
        <v>412</v>
      </c>
      <c r="H119" s="383"/>
      <c r="I119" s="104" t="s">
        <v>346</v>
      </c>
      <c r="J119" s="105" t="s">
        <v>347</v>
      </c>
      <c r="L119" s="320" t="s">
        <v>412</v>
      </c>
      <c r="M119" s="383"/>
      <c r="N119" s="104" t="s">
        <v>346</v>
      </c>
      <c r="O119" s="105" t="s">
        <v>347</v>
      </c>
      <c r="Q119" s="320" t="s">
        <v>412</v>
      </c>
      <c r="R119" s="383"/>
      <c r="S119" s="104" t="s">
        <v>346</v>
      </c>
      <c r="T119" s="105" t="s">
        <v>347</v>
      </c>
      <c r="V119" s="320" t="s">
        <v>412</v>
      </c>
      <c r="W119" s="383"/>
      <c r="X119" s="104" t="s">
        <v>346</v>
      </c>
      <c r="Y119" s="105" t="s">
        <v>347</v>
      </c>
      <c r="AA119" s="320" t="s">
        <v>412</v>
      </c>
      <c r="AB119" s="383"/>
      <c r="AC119" s="104" t="s">
        <v>346</v>
      </c>
      <c r="AD119" s="105" t="s">
        <v>347</v>
      </c>
      <c r="AF119" s="320" t="s">
        <v>412</v>
      </c>
      <c r="AG119" s="383"/>
      <c r="AH119" s="104" t="s">
        <v>346</v>
      </c>
      <c r="AI119" s="105" t="s">
        <v>347</v>
      </c>
      <c r="AK119" s="320" t="s">
        <v>412</v>
      </c>
      <c r="AL119" s="383"/>
      <c r="AM119" s="104" t="s">
        <v>346</v>
      </c>
      <c r="AN119" s="105" t="s">
        <v>347</v>
      </c>
    </row>
    <row r="120" spans="2:40" s="301" customFormat="1" ht="12.75">
      <c r="B120" s="405" t="s">
        <v>348</v>
      </c>
      <c r="C120" s="169"/>
      <c r="D120" s="327">
        <f>D98</f>
        <v>17.36</v>
      </c>
      <c r="E120" s="406">
        <f>E98</f>
        <v>704.6697121973505</v>
      </c>
      <c r="G120" s="405" t="s">
        <v>348</v>
      </c>
      <c r="H120" s="169"/>
      <c r="I120" s="327">
        <f>I98</f>
        <v>14.07</v>
      </c>
      <c r="J120" s="406">
        <f>J98</f>
        <v>680</v>
      </c>
      <c r="L120" s="405" t="s">
        <v>348</v>
      </c>
      <c r="M120" s="169"/>
      <c r="N120" s="327">
        <f>N99</f>
        <v>14</v>
      </c>
      <c r="O120" s="406">
        <f>O99</f>
        <v>44844.573333333334</v>
      </c>
      <c r="Q120" s="405" t="s">
        <v>348</v>
      </c>
      <c r="R120" s="169"/>
      <c r="S120" s="327">
        <f>S98</f>
        <v>23.04</v>
      </c>
      <c r="T120" s="406">
        <f>T98</f>
        <v>0</v>
      </c>
      <c r="V120" s="405" t="s">
        <v>348</v>
      </c>
      <c r="W120" s="169"/>
      <c r="X120" s="327">
        <f>X108</f>
        <v>16.35</v>
      </c>
      <c r="Y120" s="406">
        <f>Y108</f>
        <v>17007</v>
      </c>
      <c r="AA120" s="405" t="s">
        <v>348</v>
      </c>
      <c r="AB120" s="169"/>
      <c r="AC120" s="327">
        <f>AC98</f>
        <v>18.09</v>
      </c>
      <c r="AD120" s="406">
        <f>AD98</f>
        <v>261</v>
      </c>
      <c r="AF120" s="405" t="s">
        <v>348</v>
      </c>
      <c r="AG120" s="169"/>
      <c r="AH120" s="327">
        <f>AH98</f>
        <v>15.23</v>
      </c>
      <c r="AI120" s="406">
        <f>AI98</f>
        <v>9172.688645745211</v>
      </c>
      <c r="AK120" s="405" t="s">
        <v>348</v>
      </c>
      <c r="AL120" s="169"/>
      <c r="AM120" s="327">
        <f>AM114</f>
        <v>17.67</v>
      </c>
      <c r="AN120" s="406">
        <f>AN114</f>
        <v>992</v>
      </c>
    </row>
    <row r="121" spans="2:40" s="301" customFormat="1" ht="12.75">
      <c r="B121" s="405" t="s">
        <v>349</v>
      </c>
      <c r="C121" s="169"/>
      <c r="D121" s="342">
        <f>D99</f>
        <v>17.66</v>
      </c>
      <c r="E121" s="407">
        <f>E99</f>
        <v>256.8350019581515</v>
      </c>
      <c r="G121" s="405" t="s">
        <v>349</v>
      </c>
      <c r="H121" s="169"/>
      <c r="I121" s="342">
        <f>I99</f>
        <v>22.89</v>
      </c>
      <c r="J121" s="407">
        <f>J99</f>
        <v>7147</v>
      </c>
      <c r="L121" s="405" t="s">
        <v>349</v>
      </c>
      <c r="M121" s="169"/>
      <c r="N121" s="342">
        <f>IF(O121&lt;&gt;0,SUMPRODUCT(N100:N101,O100:O101)/SUM(O100:O101),0)</f>
        <v>16</v>
      </c>
      <c r="O121" s="407">
        <f>SUM(O100:O101)</f>
        <v>90185.23529411765</v>
      </c>
      <c r="Q121" s="405" t="s">
        <v>349</v>
      </c>
      <c r="R121" s="169"/>
      <c r="S121" s="342">
        <f>S99</f>
        <v>23.92</v>
      </c>
      <c r="T121" s="407">
        <f>T99</f>
        <v>600</v>
      </c>
      <c r="V121" s="405" t="s">
        <v>349</v>
      </c>
      <c r="W121" s="169"/>
      <c r="X121" s="342">
        <f>X98</f>
        <v>21.6</v>
      </c>
      <c r="Y121" s="407">
        <f>Y98</f>
        <v>34778</v>
      </c>
      <c r="AA121" s="405" t="s">
        <v>349</v>
      </c>
      <c r="AB121" s="169"/>
      <c r="AC121" s="342">
        <f>AC99</f>
        <v>21.2</v>
      </c>
      <c r="AD121" s="407">
        <f>AD99</f>
        <v>583</v>
      </c>
      <c r="AF121" s="405" t="s">
        <v>349</v>
      </c>
      <c r="AG121" s="169"/>
      <c r="AH121" s="342">
        <f>AH99</f>
        <v>21.06</v>
      </c>
      <c r="AI121" s="407">
        <f>AI99</f>
        <v>32266.73986069841</v>
      </c>
      <c r="AK121" s="405" t="s">
        <v>349</v>
      </c>
      <c r="AL121" s="169"/>
      <c r="AM121" s="342">
        <f>AM113</f>
        <v>25.53</v>
      </c>
      <c r="AN121" s="407">
        <f>AN113</f>
        <v>356</v>
      </c>
    </row>
    <row r="122" spans="2:40" s="301" customFormat="1" ht="12.75">
      <c r="B122" s="405" t="s">
        <v>350</v>
      </c>
      <c r="C122" s="169"/>
      <c r="D122" s="352">
        <f>IF(E122&lt;&gt;0,SUMPRODUCT(D100:D103,E100:E103)/SUM(E100:E103),0)</f>
        <v>24.73</v>
      </c>
      <c r="E122" s="408">
        <f>SUM(E100:E103)</f>
        <v>1218.6744561070743</v>
      </c>
      <c r="G122" s="405" t="s">
        <v>350</v>
      </c>
      <c r="H122" s="169"/>
      <c r="I122" s="352">
        <f>IF(J122&lt;&gt;0,SUMPRODUCT(I100:I103,J100:J103)/SUM(J100:J103),0)</f>
        <v>29.27078787878788</v>
      </c>
      <c r="J122" s="408">
        <f>SUM(J100:J103)</f>
        <v>3465</v>
      </c>
      <c r="L122" s="405" t="s">
        <v>350</v>
      </c>
      <c r="M122" s="169"/>
      <c r="N122" s="352">
        <f>IF(O122&lt;&gt;0,SUMPRODUCT(N102:N105,O102:O105)/SUM(O102:O105),0)</f>
        <v>21</v>
      </c>
      <c r="O122" s="408">
        <f>SUM(O102:O105)</f>
        <v>39048.40909090909</v>
      </c>
      <c r="Q122" s="405" t="s">
        <v>350</v>
      </c>
      <c r="R122" s="169"/>
      <c r="S122" s="352">
        <f>IF(T122&lt;&gt;0,SUMPRODUCT(S100:S101,T100:T101)/SUM(T100:T101),0)</f>
        <v>39.8344052195519</v>
      </c>
      <c r="T122" s="408">
        <f>SUM(T100:T101)</f>
        <v>1666.5796637309847</v>
      </c>
      <c r="V122" s="405" t="s">
        <v>350</v>
      </c>
      <c r="W122" s="169"/>
      <c r="X122" s="352">
        <f>IF(Y122&lt;&gt;0,SUMPRODUCT(X99:X100,Y99:Y100)/SUM(Y99:Y100),0)</f>
        <v>28.695361297897318</v>
      </c>
      <c r="Y122" s="408">
        <f>SUM(Y99:Y100)</f>
        <v>37476</v>
      </c>
      <c r="AA122" s="405" t="s">
        <v>350</v>
      </c>
      <c r="AB122" s="169"/>
      <c r="AC122" s="352">
        <f>IF(AD122&lt;&gt;0,SUMPRODUCT(AC100:AC103,AD100:AD103)/SUM(AD100:AD103),0)</f>
        <v>27.19037037037037</v>
      </c>
      <c r="AD122" s="408">
        <f>SUM(AD100:AD103)</f>
        <v>81</v>
      </c>
      <c r="AF122" s="405" t="s">
        <v>350</v>
      </c>
      <c r="AG122" s="169"/>
      <c r="AH122" s="352">
        <f>IF(AI122&lt;&gt;0,SUMPRODUCT(AH100:AH102,AI100:AI102)/SUM(AI100:AI102),0)</f>
        <v>29.02403589421483</v>
      </c>
      <c r="AI122" s="408">
        <f>SUM(AI100:AI102)</f>
        <v>24431.53039255466</v>
      </c>
      <c r="AK122" s="405" t="s">
        <v>350</v>
      </c>
      <c r="AL122" s="169"/>
      <c r="AM122" s="352">
        <f>SUMPRODUCT(AM109:AM112,AN109:AN112)/SUM(AN109:AN112)</f>
        <v>29.956037116111023</v>
      </c>
      <c r="AN122" s="408">
        <f>SUM(AN109:AN112)</f>
        <v>3044.5</v>
      </c>
    </row>
    <row r="123" spans="2:40" s="301" customFormat="1" ht="12.75">
      <c r="B123" s="405" t="s">
        <v>341</v>
      </c>
      <c r="C123" s="169"/>
      <c r="D123" s="361">
        <f>IF(E123&lt;&gt;0,SUMPRODUCT(D104:D109,E104:E109)/SUM(E104:E109),0)</f>
        <v>43.60522982874321</v>
      </c>
      <c r="E123" s="409">
        <f>SUM(E104:E109)</f>
        <v>3371.4763527398404</v>
      </c>
      <c r="G123" s="405" t="s">
        <v>341</v>
      </c>
      <c r="H123" s="169"/>
      <c r="I123" s="361">
        <f>IF(J123&lt;&gt;0,SUMPRODUCT(I104:I105,J104:J105)/SUM(J104:J105),0)</f>
        <v>48.5005477472744</v>
      </c>
      <c r="J123" s="409">
        <f>SUM(J104:J105)</f>
        <v>7613</v>
      </c>
      <c r="L123" s="405" t="s">
        <v>341</v>
      </c>
      <c r="M123" s="169"/>
      <c r="N123" s="361">
        <f>IF(O123&lt;&gt;0,SUMPRODUCT(N106:N108,O106:O108)/SUM(O106:O108),0)</f>
        <v>30.752076997041588</v>
      </c>
      <c r="O123" s="409">
        <f>SUM(O106:O108)</f>
        <v>165211.04761904763</v>
      </c>
      <c r="Q123" s="405" t="s">
        <v>341</v>
      </c>
      <c r="R123" s="169"/>
      <c r="S123" s="361">
        <f>IF(T123&lt;&gt;0,SUMPRODUCT(S102:S104,T102:T104)/SUM(T102:T104),0)</f>
        <v>55.6281318893831</v>
      </c>
      <c r="T123" s="409">
        <f>SUM(T102:T104)</f>
        <v>5171</v>
      </c>
      <c r="V123" s="405" t="s">
        <v>341</v>
      </c>
      <c r="W123" s="169"/>
      <c r="X123" s="361">
        <f>IF(Y123&lt;&gt;0,SUMPRODUCT(X101:X103,Y101:Y103)/SUM(Y101:Y103),0)</f>
        <v>60.51990983319725</v>
      </c>
      <c r="Y123" s="409">
        <f>SUM(Y101:Y103)</f>
        <v>85730</v>
      </c>
      <c r="AA123" s="405" t="s">
        <v>341</v>
      </c>
      <c r="AB123" s="169"/>
      <c r="AC123" s="361">
        <f>IF(AD123&lt;&gt;0,SUMPRODUCT(AC104:AC109,AD104:AD109)/SUM(AD104:AD109),0)</f>
        <v>45.276984126984125</v>
      </c>
      <c r="AD123" s="409">
        <f>SUM(AD104:AD109)</f>
        <v>1386</v>
      </c>
      <c r="AF123" s="405" t="s">
        <v>341</v>
      </c>
      <c r="AG123" s="169"/>
      <c r="AH123" s="361">
        <f>IF(AI123&lt;&gt;0,SUMPRODUCT(AH103:AH105,AI103:AI105)/SUM(AI103:AI105),0)</f>
        <v>50.591065082043706</v>
      </c>
      <c r="AI123" s="409">
        <f>SUM(AI103:AI105)</f>
        <v>82910.0869943933</v>
      </c>
      <c r="AK123" s="405" t="s">
        <v>341</v>
      </c>
      <c r="AL123" s="169"/>
      <c r="AM123" s="361">
        <f>SUMPRODUCT(AM102:AM108,AN102:AN108)/SUM(AN102:AN108)</f>
        <v>77.93368499701135</v>
      </c>
      <c r="AN123" s="409">
        <f>SUM(AN102:AN108)</f>
        <v>3346</v>
      </c>
    </row>
    <row r="124" spans="2:40" s="301" customFormat="1" ht="12.75">
      <c r="B124" s="405" t="s">
        <v>216</v>
      </c>
      <c r="C124" s="169"/>
      <c r="D124" s="380">
        <f>IF(E124&lt;&gt;0,SUMPRODUCT(D110:D113,E110:E113)/SUM(E110:E113),0)</f>
        <v>0</v>
      </c>
      <c r="E124" s="410">
        <f>SUM(E110:E113)</f>
        <v>0</v>
      </c>
      <c r="G124" s="405" t="s">
        <v>216</v>
      </c>
      <c r="H124" s="169"/>
      <c r="I124" s="380">
        <f>IF(J124&lt;&gt;0,SUMPRODUCT(I106:I108,J106:J108)/SUM(J106:J108),0)</f>
        <v>113.88165415791055</v>
      </c>
      <c r="J124" s="410">
        <f>SUM(J106:J108)</f>
        <v>16655</v>
      </c>
      <c r="L124" s="405" t="s">
        <v>216</v>
      </c>
      <c r="M124" s="169"/>
      <c r="N124" s="380">
        <f>IF(O124&lt;&gt;0,SUMPRODUCT(N109:N111,O109:O111)/SUM(O109:O111),0)</f>
        <v>102.20407298093771</v>
      </c>
      <c r="O124" s="410">
        <f>SUM(O109:O111)</f>
        <v>41527.82916954221</v>
      </c>
      <c r="Q124" s="405" t="s">
        <v>216</v>
      </c>
      <c r="R124" s="169"/>
      <c r="S124" s="380">
        <f>IF(T124&lt;&gt;0,SUMPRODUCT(S105:S108,T105:T108)/SUM(T105:T108),0)</f>
        <v>0</v>
      </c>
      <c r="T124" s="410">
        <f>SUM(T105:T108)</f>
        <v>0</v>
      </c>
      <c r="V124" s="405" t="s">
        <v>216</v>
      </c>
      <c r="W124" s="169"/>
      <c r="X124" s="380">
        <f>IF(Y124&lt;&gt;0,SUMPRODUCT(X104:X107,Y104:Y107)/SUM(Y104:Y107),0)</f>
        <v>130.4542727184614</v>
      </c>
      <c r="Y124" s="410">
        <f>SUM(Y104:Y107)</f>
        <v>24073.666666666668</v>
      </c>
      <c r="AA124" s="405" t="s">
        <v>216</v>
      </c>
      <c r="AB124" s="169"/>
      <c r="AC124" s="380">
        <f>IF(AD124&lt;&gt;0,SUMPRODUCT(AC110:AC113,AD110:AD113)/SUM(AD110:AD113),0)</f>
        <v>0</v>
      </c>
      <c r="AD124" s="410">
        <f>SUM(AD110:AD113)</f>
        <v>0</v>
      </c>
      <c r="AF124" s="405" t="s">
        <v>216</v>
      </c>
      <c r="AG124" s="169"/>
      <c r="AH124" s="380">
        <f>IF(AI124&lt;&gt;0,SUMPRODUCT(AH106:AH109,AI106:AI109)/SUM(AI106:AI109),0)</f>
        <v>138.61673789847111</v>
      </c>
      <c r="AI124" s="410">
        <f>SUM(AI106:AI109)</f>
        <v>18357.18003360507</v>
      </c>
      <c r="AK124" s="405" t="s">
        <v>216</v>
      </c>
      <c r="AL124" s="169"/>
      <c r="AM124" s="380">
        <f>SUMPRODUCT(AM98:AM101,AN98:AN101)/SUM(AN98:AN101)</f>
        <v>149.74433047192775</v>
      </c>
      <c r="AN124" s="410">
        <f>SUM(AN98:AN101)</f>
        <v>948.277411344766</v>
      </c>
    </row>
    <row r="125" spans="2:40" s="318" customFormat="1" ht="12.75">
      <c r="B125" s="411" t="s">
        <v>381</v>
      </c>
      <c r="C125" s="412"/>
      <c r="D125" s="413">
        <f>SUMPRODUCT(D120:D124,E120:E124)</f>
        <v>193920.59286124856</v>
      </c>
      <c r="E125" s="414"/>
      <c r="G125" s="411" t="s">
        <v>381</v>
      </c>
      <c r="H125" s="412"/>
      <c r="I125" s="413">
        <f>SUMPRODUCT(I120:I124,J120:J124)</f>
        <v>2540519.33</v>
      </c>
      <c r="J125" s="414"/>
      <c r="L125" s="411" t="s">
        <v>381</v>
      </c>
      <c r="M125" s="412"/>
      <c r="N125" s="413">
        <f>SUMPRODUCT(N120:N124,O120:O124)</f>
        <v>12215700.522608303</v>
      </c>
      <c r="O125" s="414"/>
      <c r="Q125" s="411" t="s">
        <v>381</v>
      </c>
      <c r="R125" s="412"/>
      <c r="S125" s="413">
        <f>SUMPRODUCT(S120:S124,T120:T124)</f>
        <v>368392.2796557246</v>
      </c>
      <c r="T125" s="414"/>
      <c r="V125" s="411" t="s">
        <v>381</v>
      </c>
      <c r="W125" s="412"/>
      <c r="X125" s="413">
        <f>SUMPRODUCT(X120:X124,Y120:Y124)</f>
        <v>10433541.156666668</v>
      </c>
      <c r="Y125" s="414"/>
      <c r="AA125" s="411" t="s">
        <v>381</v>
      </c>
      <c r="AB125" s="412"/>
      <c r="AC125" s="413">
        <f>SUMPRODUCT(AC120:AC124,AD120:AD124)</f>
        <v>82037.41</v>
      </c>
      <c r="AD125" s="414"/>
      <c r="AF125" s="411" t="s">
        <v>381</v>
      </c>
      <c r="AG125" s="412"/>
      <c r="AH125" s="413">
        <f>SUMPRODUCT(AH120:AH124,AI120:AI124)</f>
        <v>8267461.224969653</v>
      </c>
      <c r="AI125" s="414"/>
      <c r="AK125" s="411" t="s">
        <v>381</v>
      </c>
      <c r="AL125" s="412"/>
      <c r="AM125" s="413">
        <f>SUMPRODUCT(AM120:AM124,AN120:AN124)</f>
        <v>520583.7510634748</v>
      </c>
      <c r="AN125" s="414"/>
    </row>
    <row r="126" spans="2:29" ht="12.75">
      <c r="B126" s="301"/>
      <c r="C126" s="301"/>
      <c r="D126" s="301"/>
      <c r="E126" s="301"/>
      <c r="L126" s="301"/>
      <c r="M126" s="301"/>
      <c r="N126" s="301"/>
      <c r="O126" s="301"/>
      <c r="P126" s="301"/>
      <c r="AA126" s="301"/>
      <c r="AB126" s="301"/>
      <c r="AC126" s="301"/>
    </row>
    <row r="127" spans="1:32" s="107" customFormat="1" ht="12.75">
      <c r="A127" s="107" t="s">
        <v>498</v>
      </c>
      <c r="B127" s="78"/>
      <c r="C127" s="108"/>
      <c r="D127" s="108"/>
      <c r="E127" s="108"/>
      <c r="F127" s="108"/>
      <c r="G127" s="108"/>
      <c r="H127" s="108"/>
      <c r="I127" s="108"/>
      <c r="J127" s="108"/>
      <c r="K127" s="108"/>
      <c r="AF127" s="108"/>
    </row>
    <row r="128" spans="1:6" ht="12.75">
      <c r="A128" s="110"/>
      <c r="B128" s="84"/>
      <c r="C128" s="84"/>
      <c r="D128" s="84"/>
      <c r="E128" s="84"/>
      <c r="F128" s="84"/>
    </row>
    <row r="129" spans="2:9" ht="12.75">
      <c r="B129" s="102" t="s">
        <v>397</v>
      </c>
      <c r="C129" s="84"/>
      <c r="D129" s="84"/>
      <c r="E129" s="84"/>
      <c r="F129" s="84"/>
      <c r="G129" s="84"/>
      <c r="H129" s="84"/>
      <c r="I129" s="84"/>
    </row>
    <row r="130" spans="2:6" ht="12.75">
      <c r="B130" s="102"/>
      <c r="C130" s="84"/>
      <c r="D130" s="84"/>
      <c r="E130" s="84"/>
      <c r="F130" s="84"/>
    </row>
    <row r="131" spans="2:37" s="301" customFormat="1" ht="12.75">
      <c r="B131" s="317" t="s">
        <v>139</v>
      </c>
      <c r="C131" s="318"/>
      <c r="D131" s="318"/>
      <c r="E131" s="318"/>
      <c r="F131" s="318"/>
      <c r="G131" s="319" t="s">
        <v>58</v>
      </c>
      <c r="L131" s="319" t="s">
        <v>141</v>
      </c>
      <c r="Q131" s="319" t="s">
        <v>388</v>
      </c>
      <c r="V131" s="317" t="s">
        <v>142</v>
      </c>
      <c r="AA131" s="319" t="s">
        <v>143</v>
      </c>
      <c r="AF131" s="319" t="s">
        <v>140</v>
      </c>
      <c r="AK131" s="103" t="s">
        <v>59</v>
      </c>
    </row>
    <row r="132" spans="2:40" s="301" customFormat="1" ht="12.75">
      <c r="B132" s="320" t="s">
        <v>397</v>
      </c>
      <c r="C132" s="321"/>
      <c r="D132" s="320" t="s">
        <v>346</v>
      </c>
      <c r="E132" s="322" t="s">
        <v>347</v>
      </c>
      <c r="G132" s="320" t="s">
        <v>397</v>
      </c>
      <c r="H132" s="321"/>
      <c r="I132" s="320" t="s">
        <v>346</v>
      </c>
      <c r="J132" s="322" t="s">
        <v>347</v>
      </c>
      <c r="L132" s="320" t="s">
        <v>397</v>
      </c>
      <c r="M132" s="321"/>
      <c r="N132" s="104" t="s">
        <v>346</v>
      </c>
      <c r="O132" s="105" t="s">
        <v>347</v>
      </c>
      <c r="Q132" s="320" t="s">
        <v>397</v>
      </c>
      <c r="R132" s="321"/>
      <c r="S132" s="104" t="s">
        <v>346</v>
      </c>
      <c r="T132" s="117" t="s">
        <v>347</v>
      </c>
      <c r="V132" s="320" t="s">
        <v>397</v>
      </c>
      <c r="W132" s="321"/>
      <c r="X132" s="104" t="s">
        <v>346</v>
      </c>
      <c r="Y132" s="117" t="s">
        <v>347</v>
      </c>
      <c r="AA132" s="323" t="s">
        <v>397</v>
      </c>
      <c r="AB132" s="324"/>
      <c r="AC132" s="118" t="s">
        <v>346</v>
      </c>
      <c r="AD132" s="117" t="s">
        <v>347</v>
      </c>
      <c r="AF132" s="323" t="s">
        <v>397</v>
      </c>
      <c r="AG132" s="324"/>
      <c r="AH132" s="118" t="s">
        <v>346</v>
      </c>
      <c r="AI132" s="117" t="s">
        <v>347</v>
      </c>
      <c r="AK132" s="320" t="s">
        <v>397</v>
      </c>
      <c r="AL132" s="321"/>
      <c r="AM132" s="104" t="s">
        <v>346</v>
      </c>
      <c r="AN132" s="117" t="s">
        <v>347</v>
      </c>
    </row>
    <row r="133" spans="2:46" s="301" customFormat="1" ht="12.75">
      <c r="B133" s="325" t="s">
        <v>398</v>
      </c>
      <c r="C133" s="326"/>
      <c r="D133" s="327">
        <v>424.02</v>
      </c>
      <c r="E133" s="328">
        <v>541.606817585407</v>
      </c>
      <c r="F133" s="329"/>
      <c r="G133" s="330" t="s">
        <v>413</v>
      </c>
      <c r="H133" s="331"/>
      <c r="I133" s="332">
        <v>299.97</v>
      </c>
      <c r="J133" s="333">
        <v>1360</v>
      </c>
      <c r="L133" s="323"/>
      <c r="M133" s="335"/>
      <c r="N133" s="119"/>
      <c r="O133" s="117"/>
      <c r="Q133" s="330" t="s">
        <v>431</v>
      </c>
      <c r="R133" s="331"/>
      <c r="S133" s="332">
        <v>359.19</v>
      </c>
      <c r="T133" s="333">
        <v>22</v>
      </c>
      <c r="V133" s="336" t="s">
        <v>260</v>
      </c>
      <c r="W133" s="331"/>
      <c r="X133" s="337">
        <v>565.95</v>
      </c>
      <c r="Y133" s="337">
        <v>36285</v>
      </c>
      <c r="AA133" s="325" t="s">
        <v>441</v>
      </c>
      <c r="AB133" s="331"/>
      <c r="AC133" s="332">
        <v>366.84</v>
      </c>
      <c r="AD133" s="333">
        <v>309</v>
      </c>
      <c r="AE133" s="338"/>
      <c r="AF133" s="325" t="s">
        <v>457</v>
      </c>
      <c r="AG133" s="326"/>
      <c r="AH133" s="332">
        <v>348.79</v>
      </c>
      <c r="AI133" s="334">
        <v>16870.134756444942</v>
      </c>
      <c r="AK133" s="330" t="s">
        <v>466</v>
      </c>
      <c r="AL133" s="331"/>
      <c r="AM133" s="339">
        <v>178593.68</v>
      </c>
      <c r="AN133" s="340">
        <v>1</v>
      </c>
      <c r="AT133" s="437"/>
    </row>
    <row r="134" spans="2:46" s="301" customFormat="1" ht="12.75">
      <c r="B134" s="330" t="s">
        <v>399</v>
      </c>
      <c r="C134" s="338"/>
      <c r="D134" s="342">
        <v>604.57</v>
      </c>
      <c r="E134" s="343">
        <v>658.0002804638002</v>
      </c>
      <c r="F134" s="329"/>
      <c r="G134" s="330" t="s">
        <v>414</v>
      </c>
      <c r="H134" s="344"/>
      <c r="I134" s="345">
        <v>569.5</v>
      </c>
      <c r="J134" s="346">
        <v>1868</v>
      </c>
      <c r="L134" s="330" t="s">
        <v>420</v>
      </c>
      <c r="M134" s="338"/>
      <c r="N134" s="332">
        <v>310</v>
      </c>
      <c r="O134" s="334">
        <v>29519.46935483871</v>
      </c>
      <c r="P134" s="437"/>
      <c r="Q134" s="330" t="s">
        <v>262</v>
      </c>
      <c r="R134" s="344"/>
      <c r="S134" s="345">
        <v>466.36</v>
      </c>
      <c r="T134" s="346">
        <v>1781</v>
      </c>
      <c r="V134" s="348" t="s">
        <v>264</v>
      </c>
      <c r="W134" s="344"/>
      <c r="X134" s="349">
        <v>875.5</v>
      </c>
      <c r="Y134" s="349">
        <v>2116</v>
      </c>
      <c r="AA134" s="330" t="s">
        <v>442</v>
      </c>
      <c r="AB134" s="344"/>
      <c r="AC134" s="345">
        <v>620.97</v>
      </c>
      <c r="AD134" s="346">
        <v>315</v>
      </c>
      <c r="AE134" s="338"/>
      <c r="AF134" s="330" t="s">
        <v>458</v>
      </c>
      <c r="AG134" s="338"/>
      <c r="AH134" s="345">
        <v>510.18</v>
      </c>
      <c r="AI134" s="347">
        <v>33085.45556173802</v>
      </c>
      <c r="AK134" s="330" t="s">
        <v>467</v>
      </c>
      <c r="AL134" s="344"/>
      <c r="AM134" s="350">
        <v>58680.78</v>
      </c>
      <c r="AN134" s="351">
        <v>17</v>
      </c>
      <c r="AT134" s="437"/>
    </row>
    <row r="135" spans="2:46" s="301" customFormat="1" ht="12.75">
      <c r="B135" s="330" t="s">
        <v>340</v>
      </c>
      <c r="C135" s="338"/>
      <c r="D135" s="352">
        <v>969.47</v>
      </c>
      <c r="E135" s="353">
        <v>18</v>
      </c>
      <c r="F135" s="329"/>
      <c r="G135" s="330" t="s">
        <v>340</v>
      </c>
      <c r="H135" s="344"/>
      <c r="I135" s="354">
        <v>803.21</v>
      </c>
      <c r="J135" s="349">
        <v>82</v>
      </c>
      <c r="L135" s="330" t="s">
        <v>421</v>
      </c>
      <c r="M135" s="338"/>
      <c r="N135" s="345">
        <v>595</v>
      </c>
      <c r="O135" s="347">
        <v>20542.66998319328</v>
      </c>
      <c r="P135" s="437"/>
      <c r="Q135" s="330" t="s">
        <v>432</v>
      </c>
      <c r="R135" s="344"/>
      <c r="S135" s="354">
        <v>770.07</v>
      </c>
      <c r="T135" s="349">
        <v>209</v>
      </c>
      <c r="V135" s="348" t="s">
        <v>270</v>
      </c>
      <c r="W135" s="344"/>
      <c r="X135" s="349">
        <v>1061.5</v>
      </c>
      <c r="Y135" s="349">
        <v>1391</v>
      </c>
      <c r="AA135" s="330" t="s">
        <v>443</v>
      </c>
      <c r="AB135" s="344"/>
      <c r="AC135" s="354">
        <v>835.76</v>
      </c>
      <c r="AD135" s="349">
        <v>15</v>
      </c>
      <c r="AE135" s="338"/>
      <c r="AF135" s="330" t="s">
        <v>340</v>
      </c>
      <c r="AG135" s="338"/>
      <c r="AH135" s="354">
        <v>767.3</v>
      </c>
      <c r="AI135" s="355">
        <v>1196.971072030577</v>
      </c>
      <c r="AK135" s="330" t="s">
        <v>468</v>
      </c>
      <c r="AL135" s="344"/>
      <c r="AM135" s="350">
        <v>20614.48</v>
      </c>
      <c r="AN135" s="351">
        <v>8</v>
      </c>
      <c r="AT135" s="437"/>
    </row>
    <row r="136" spans="2:46" s="301" customFormat="1" ht="12.75">
      <c r="B136" s="330" t="s">
        <v>339</v>
      </c>
      <c r="C136" s="338"/>
      <c r="D136" s="352">
        <v>969.47</v>
      </c>
      <c r="E136" s="353">
        <v>4</v>
      </c>
      <c r="F136" s="329"/>
      <c r="G136" s="330" t="s">
        <v>339</v>
      </c>
      <c r="H136" s="344"/>
      <c r="I136" s="354">
        <v>884.7</v>
      </c>
      <c r="J136" s="349">
        <v>43</v>
      </c>
      <c r="L136" s="330" t="s">
        <v>422</v>
      </c>
      <c r="M136" s="338"/>
      <c r="N136" s="345">
        <v>595</v>
      </c>
      <c r="O136" s="347">
        <v>9893.809831932773</v>
      </c>
      <c r="P136" s="437"/>
      <c r="Q136" s="330" t="s">
        <v>433</v>
      </c>
      <c r="R136" s="344"/>
      <c r="S136" s="354">
        <v>1672.09</v>
      </c>
      <c r="T136" s="349">
        <v>8</v>
      </c>
      <c r="V136" s="348" t="s">
        <v>276</v>
      </c>
      <c r="W136" s="344"/>
      <c r="X136" s="356">
        <v>3817</v>
      </c>
      <c r="Y136" s="356">
        <v>227</v>
      </c>
      <c r="AA136" s="330" t="s">
        <v>444</v>
      </c>
      <c r="AB136" s="344"/>
      <c r="AC136" s="354">
        <v>942.09</v>
      </c>
      <c r="AD136" s="349">
        <v>6</v>
      </c>
      <c r="AE136" s="338"/>
      <c r="AF136" s="330" t="s">
        <v>459</v>
      </c>
      <c r="AG136" s="338"/>
      <c r="AH136" s="354">
        <v>767.3</v>
      </c>
      <c r="AI136" s="355">
        <v>1204.8155621241067</v>
      </c>
      <c r="AK136" s="330" t="s">
        <v>469</v>
      </c>
      <c r="AL136" s="344"/>
      <c r="AM136" s="350">
        <v>13189.85</v>
      </c>
      <c r="AN136" s="351">
        <v>1</v>
      </c>
      <c r="AT136" s="437"/>
    </row>
    <row r="137" spans="2:46" s="301" customFormat="1" ht="12.75">
      <c r="B137" s="330" t="s">
        <v>400</v>
      </c>
      <c r="C137" s="338"/>
      <c r="D137" s="352">
        <v>969.47</v>
      </c>
      <c r="E137" s="353">
        <v>8.679241016142406</v>
      </c>
      <c r="F137" s="329"/>
      <c r="G137" s="330" t="s">
        <v>400</v>
      </c>
      <c r="H137" s="344"/>
      <c r="I137" s="354">
        <v>995.73</v>
      </c>
      <c r="J137" s="349">
        <v>24</v>
      </c>
      <c r="L137" s="330" t="s">
        <v>423</v>
      </c>
      <c r="M137" s="338"/>
      <c r="N137" s="354">
        <v>725</v>
      </c>
      <c r="O137" s="355">
        <v>0</v>
      </c>
      <c r="P137" s="437"/>
      <c r="Q137" s="330" t="s">
        <v>434</v>
      </c>
      <c r="R137" s="344"/>
      <c r="S137" s="357">
        <v>2817.21</v>
      </c>
      <c r="T137" s="356">
        <v>19</v>
      </c>
      <c r="V137" s="348" t="s">
        <v>284</v>
      </c>
      <c r="W137" s="344"/>
      <c r="X137" s="356">
        <v>4283</v>
      </c>
      <c r="Y137" s="356">
        <v>233</v>
      </c>
      <c r="AA137" s="330" t="s">
        <v>445</v>
      </c>
      <c r="AB137" s="344"/>
      <c r="AC137" s="354">
        <v>1017.58</v>
      </c>
      <c r="AD137" s="349">
        <v>7</v>
      </c>
      <c r="AE137" s="338"/>
      <c r="AF137" s="330" t="s">
        <v>460</v>
      </c>
      <c r="AG137" s="338"/>
      <c r="AH137" s="354">
        <v>1252</v>
      </c>
      <c r="AI137" s="355">
        <v>505.9587437596409</v>
      </c>
      <c r="AK137" s="330" t="s">
        <v>470</v>
      </c>
      <c r="AL137" s="344"/>
      <c r="AM137" s="358">
        <v>11771.83</v>
      </c>
      <c r="AN137" s="359">
        <v>4</v>
      </c>
      <c r="AT137" s="437"/>
    </row>
    <row r="138" spans="2:46" s="301" customFormat="1" ht="12.75">
      <c r="B138" s="330" t="s">
        <v>401</v>
      </c>
      <c r="C138" s="338"/>
      <c r="D138" s="352">
        <v>969.47</v>
      </c>
      <c r="E138" s="353">
        <v>18</v>
      </c>
      <c r="F138" s="329"/>
      <c r="G138" s="330" t="s">
        <v>401</v>
      </c>
      <c r="H138" s="344"/>
      <c r="I138" s="354">
        <v>1057.52</v>
      </c>
      <c r="J138" s="349">
        <v>55</v>
      </c>
      <c r="L138" s="330" t="s">
        <v>424</v>
      </c>
      <c r="M138" s="338"/>
      <c r="N138" s="354">
        <v>725</v>
      </c>
      <c r="O138" s="355">
        <v>483.32758620689657</v>
      </c>
      <c r="P138" s="437"/>
      <c r="Q138" s="330" t="s">
        <v>435</v>
      </c>
      <c r="R138" s="344"/>
      <c r="S138" s="357">
        <v>4294.34</v>
      </c>
      <c r="T138" s="356">
        <v>20</v>
      </c>
      <c r="V138" s="348" t="s">
        <v>292</v>
      </c>
      <c r="W138" s="344"/>
      <c r="X138" s="356">
        <v>17585</v>
      </c>
      <c r="Y138" s="356">
        <v>168</v>
      </c>
      <c r="AA138" s="330" t="s">
        <v>446</v>
      </c>
      <c r="AB138" s="344"/>
      <c r="AC138" s="354">
        <v>1017.58</v>
      </c>
      <c r="AD138" s="349">
        <v>23</v>
      </c>
      <c r="AE138" s="338"/>
      <c r="AF138" s="330" t="s">
        <v>461</v>
      </c>
      <c r="AG138" s="338"/>
      <c r="AH138" s="357">
        <v>2634</v>
      </c>
      <c r="AI138" s="360">
        <v>214.90232171740746</v>
      </c>
      <c r="AK138" s="330" t="s">
        <v>471</v>
      </c>
      <c r="AL138" s="344"/>
      <c r="AM138" s="358">
        <v>6429.37</v>
      </c>
      <c r="AN138" s="359">
        <v>3</v>
      </c>
      <c r="AT138" s="437"/>
    </row>
    <row r="139" spans="2:46" s="301" customFormat="1" ht="12.75">
      <c r="B139" s="330" t="s">
        <v>402</v>
      </c>
      <c r="C139" s="338"/>
      <c r="D139" s="361">
        <v>3627.4</v>
      </c>
      <c r="E139" s="362">
        <v>0</v>
      </c>
      <c r="F139" s="329"/>
      <c r="G139" s="330" t="s">
        <v>415</v>
      </c>
      <c r="H139" s="344"/>
      <c r="I139" s="357">
        <v>3860.26</v>
      </c>
      <c r="J139" s="356">
        <v>39</v>
      </c>
      <c r="L139" s="330" t="s">
        <v>400</v>
      </c>
      <c r="M139" s="338"/>
      <c r="N139" s="354">
        <v>865</v>
      </c>
      <c r="O139" s="355">
        <v>569.3037572254335</v>
      </c>
      <c r="P139" s="437"/>
      <c r="Q139" s="330" t="s">
        <v>436</v>
      </c>
      <c r="R139" s="344"/>
      <c r="S139" s="357">
        <v>11934.01</v>
      </c>
      <c r="T139" s="356">
        <v>16</v>
      </c>
      <c r="V139" s="348" t="s">
        <v>300</v>
      </c>
      <c r="W139" s="363"/>
      <c r="X139" s="364">
        <v>32616</v>
      </c>
      <c r="Y139" s="364">
        <v>27</v>
      </c>
      <c r="AA139" s="330" t="s">
        <v>447</v>
      </c>
      <c r="AB139" s="344"/>
      <c r="AC139" s="357">
        <v>3054.88</v>
      </c>
      <c r="AD139" s="356"/>
      <c r="AE139" s="338"/>
      <c r="AF139" s="330" t="s">
        <v>462</v>
      </c>
      <c r="AG139" s="338"/>
      <c r="AH139" s="357">
        <v>3141</v>
      </c>
      <c r="AI139" s="360">
        <v>540.512992291005</v>
      </c>
      <c r="AK139" s="330" t="s">
        <v>472</v>
      </c>
      <c r="AL139" s="344"/>
      <c r="AM139" s="358">
        <v>6429.37</v>
      </c>
      <c r="AN139" s="359">
        <v>1</v>
      </c>
      <c r="AT139" s="437"/>
    </row>
    <row r="140" spans="2:46" s="301" customFormat="1" ht="12.75">
      <c r="B140" s="330" t="s">
        <v>403</v>
      </c>
      <c r="C140" s="338"/>
      <c r="D140" s="361">
        <v>3834.38</v>
      </c>
      <c r="E140" s="362">
        <v>3</v>
      </c>
      <c r="F140" s="329"/>
      <c r="G140" s="330" t="s">
        <v>416</v>
      </c>
      <c r="H140" s="344"/>
      <c r="I140" s="357">
        <v>13206.02</v>
      </c>
      <c r="J140" s="356">
        <v>10</v>
      </c>
      <c r="L140" s="330" t="s">
        <v>401</v>
      </c>
      <c r="M140" s="338"/>
      <c r="N140" s="354">
        <v>865</v>
      </c>
      <c r="O140" s="355">
        <v>793.1035606936416</v>
      </c>
      <c r="P140" s="437"/>
      <c r="Q140" s="330" t="s">
        <v>437</v>
      </c>
      <c r="R140" s="344"/>
      <c r="S140" s="365">
        <v>23227.39</v>
      </c>
      <c r="T140" s="364">
        <v>1</v>
      </c>
      <c r="V140" s="348" t="s">
        <v>359</v>
      </c>
      <c r="W140" s="344"/>
      <c r="X140" s="364">
        <v>51797</v>
      </c>
      <c r="Y140" s="364">
        <v>41</v>
      </c>
      <c r="AA140" s="330" t="s">
        <v>448</v>
      </c>
      <c r="AB140" s="344"/>
      <c r="AC140" s="357">
        <v>3159.08</v>
      </c>
      <c r="AD140" s="356">
        <v>2</v>
      </c>
      <c r="AE140" s="338"/>
      <c r="AF140" s="330" t="s">
        <v>463</v>
      </c>
      <c r="AG140" s="329"/>
      <c r="AH140" s="357">
        <v>31488</v>
      </c>
      <c r="AI140" s="360">
        <v>146.91823119806622</v>
      </c>
      <c r="AK140" s="330" t="s">
        <v>473</v>
      </c>
      <c r="AL140" s="344"/>
      <c r="AM140" s="358">
        <v>4898.56</v>
      </c>
      <c r="AN140" s="359">
        <v>2</v>
      </c>
      <c r="AT140" s="437"/>
    </row>
    <row r="141" spans="2:46" s="301" customFormat="1" ht="12.75">
      <c r="B141" s="330" t="s">
        <v>404</v>
      </c>
      <c r="C141" s="338"/>
      <c r="D141" s="361">
        <v>5286.04</v>
      </c>
      <c r="E141" s="362">
        <v>1</v>
      </c>
      <c r="F141" s="329"/>
      <c r="G141" s="330" t="s">
        <v>417</v>
      </c>
      <c r="H141" s="344"/>
      <c r="I141" s="365">
        <v>50487.87</v>
      </c>
      <c r="J141" s="364">
        <v>9</v>
      </c>
      <c r="L141" s="330" t="s">
        <v>425</v>
      </c>
      <c r="M141" s="338"/>
      <c r="N141" s="357">
        <v>2200</v>
      </c>
      <c r="O141" s="360">
        <v>478.10954545454547</v>
      </c>
      <c r="P141" s="437"/>
      <c r="Q141" s="330" t="s">
        <v>438</v>
      </c>
      <c r="R141" s="344"/>
      <c r="S141" s="365">
        <v>33313</v>
      </c>
      <c r="T141" s="364">
        <v>0</v>
      </c>
      <c r="V141" s="348" t="s">
        <v>314</v>
      </c>
      <c r="W141" s="344"/>
      <c r="X141" s="364">
        <v>228994</v>
      </c>
      <c r="Y141" s="364">
        <v>8</v>
      </c>
      <c r="AA141" s="330" t="s">
        <v>449</v>
      </c>
      <c r="AB141" s="344"/>
      <c r="AC141" s="357">
        <v>4059.71</v>
      </c>
      <c r="AD141" s="356">
        <v>3</v>
      </c>
      <c r="AE141" s="338"/>
      <c r="AF141" s="330" t="s">
        <v>464</v>
      </c>
      <c r="AG141" s="169"/>
      <c r="AH141" s="365">
        <v>39339</v>
      </c>
      <c r="AI141" s="366">
        <v>24.438653178609485</v>
      </c>
      <c r="AK141" s="330" t="s">
        <v>32</v>
      </c>
      <c r="AL141" s="344"/>
      <c r="AM141" s="358">
        <v>4898.56</v>
      </c>
      <c r="AN141" s="359">
        <v>9</v>
      </c>
      <c r="AT141" s="437"/>
    </row>
    <row r="142" spans="2:46" s="301" customFormat="1" ht="12.75">
      <c r="B142" s="330" t="s">
        <v>405</v>
      </c>
      <c r="C142" s="338"/>
      <c r="D142" s="361">
        <v>5629.23</v>
      </c>
      <c r="E142" s="362">
        <v>3.998934134863916</v>
      </c>
      <c r="F142" s="329"/>
      <c r="G142" s="330" t="s">
        <v>418</v>
      </c>
      <c r="H142" s="344"/>
      <c r="I142" s="365">
        <v>191587.61</v>
      </c>
      <c r="J142" s="364">
        <v>0</v>
      </c>
      <c r="L142" s="330" t="s">
        <v>426</v>
      </c>
      <c r="M142" s="338"/>
      <c r="N142" s="357">
        <v>2900</v>
      </c>
      <c r="O142" s="360">
        <v>392.2620862068966</v>
      </c>
      <c r="P142" s="437"/>
      <c r="Q142" s="330" t="s">
        <v>439</v>
      </c>
      <c r="R142" s="344"/>
      <c r="S142" s="365">
        <v>107867.83</v>
      </c>
      <c r="T142" s="364">
        <v>0</v>
      </c>
      <c r="V142" s="348" t="s">
        <v>322</v>
      </c>
      <c r="W142" s="344"/>
      <c r="X142" s="364">
        <v>333256</v>
      </c>
      <c r="Y142" s="364">
        <v>9</v>
      </c>
      <c r="AA142" s="330" t="s">
        <v>450</v>
      </c>
      <c r="AB142" s="344"/>
      <c r="AC142" s="357">
        <v>4662.6</v>
      </c>
      <c r="AD142" s="356">
        <v>2</v>
      </c>
      <c r="AE142" s="338"/>
      <c r="AF142" s="330" t="s">
        <v>465</v>
      </c>
      <c r="AG142" s="169"/>
      <c r="AH142" s="365">
        <v>39339</v>
      </c>
      <c r="AI142" s="366">
        <v>67.49646248423038</v>
      </c>
      <c r="AK142" s="330" t="s">
        <v>33</v>
      </c>
      <c r="AL142" s="344"/>
      <c r="AM142" s="358">
        <v>4730.17</v>
      </c>
      <c r="AN142" s="359">
        <v>5</v>
      </c>
      <c r="AT142" s="437"/>
    </row>
    <row r="143" spans="2:46" s="301" customFormat="1" ht="12.75">
      <c r="B143" s="330" t="s">
        <v>406</v>
      </c>
      <c r="C143" s="338"/>
      <c r="D143" s="361">
        <v>5900.43</v>
      </c>
      <c r="E143" s="362">
        <v>7</v>
      </c>
      <c r="F143" s="329"/>
      <c r="G143" s="330" t="s">
        <v>419</v>
      </c>
      <c r="H143" s="344"/>
      <c r="I143" s="365">
        <v>209060.43</v>
      </c>
      <c r="J143" s="367">
        <v>2</v>
      </c>
      <c r="L143" s="330" t="s">
        <v>427</v>
      </c>
      <c r="M143" s="338"/>
      <c r="N143" s="357">
        <v>10595</v>
      </c>
      <c r="O143" s="360">
        <v>402.6470533270411</v>
      </c>
      <c r="P143" s="437"/>
      <c r="Q143" s="330" t="s">
        <v>440</v>
      </c>
      <c r="R143" s="344"/>
      <c r="S143" s="365">
        <v>149071.11</v>
      </c>
      <c r="T143" s="364">
        <v>0</v>
      </c>
      <c r="V143" s="348" t="s">
        <v>329</v>
      </c>
      <c r="W143" s="344"/>
      <c r="X143" s="368">
        <v>341</v>
      </c>
      <c r="Y143" s="368">
        <v>10610</v>
      </c>
      <c r="AA143" s="330" t="s">
        <v>451</v>
      </c>
      <c r="AB143" s="344"/>
      <c r="AC143" s="357">
        <v>4662.6</v>
      </c>
      <c r="AD143" s="356">
        <v>1</v>
      </c>
      <c r="AE143" s="338"/>
      <c r="AF143" s="330" t="s">
        <v>289</v>
      </c>
      <c r="AG143" s="169"/>
      <c r="AH143" s="365">
        <v>183873</v>
      </c>
      <c r="AI143" s="366">
        <v>10.260462157208451</v>
      </c>
      <c r="AK143" s="330" t="s">
        <v>34</v>
      </c>
      <c r="AL143" s="344"/>
      <c r="AM143" s="358">
        <v>4430.02</v>
      </c>
      <c r="AN143" s="359">
        <v>20</v>
      </c>
      <c r="AT143" s="437"/>
    </row>
    <row r="144" spans="2:46" s="301" customFormat="1" ht="12.75">
      <c r="B144" s="330" t="s">
        <v>407</v>
      </c>
      <c r="C144" s="338"/>
      <c r="D144" s="361">
        <v>24470.76</v>
      </c>
      <c r="E144" s="362">
        <v>2</v>
      </c>
      <c r="G144" s="369"/>
      <c r="H144" s="370"/>
      <c r="I144" s="371"/>
      <c r="J144" s="371"/>
      <c r="L144" s="330" t="s">
        <v>428</v>
      </c>
      <c r="M144" s="338"/>
      <c r="N144" s="365">
        <v>23640</v>
      </c>
      <c r="O144" s="366">
        <v>200.00846023688663</v>
      </c>
      <c r="P144" s="437"/>
      <c r="Q144" s="369"/>
      <c r="R144" s="370"/>
      <c r="S144" s="371"/>
      <c r="T144" s="375"/>
      <c r="V144" s="369"/>
      <c r="W144" s="370"/>
      <c r="X144" s="376"/>
      <c r="Y144" s="377"/>
      <c r="AA144" s="330" t="s">
        <v>452</v>
      </c>
      <c r="AB144" s="344"/>
      <c r="AC144" s="357">
        <v>18489.86</v>
      </c>
      <c r="AD144" s="356">
        <v>1</v>
      </c>
      <c r="AE144" s="338"/>
      <c r="AF144" s="372" t="s">
        <v>297</v>
      </c>
      <c r="AG144" s="373"/>
      <c r="AH144" s="365">
        <v>236105</v>
      </c>
      <c r="AI144" s="374">
        <v>17.96882107982351</v>
      </c>
      <c r="AK144" s="330" t="s">
        <v>401</v>
      </c>
      <c r="AL144" s="344"/>
      <c r="AM144" s="378">
        <v>1243.78</v>
      </c>
      <c r="AN144" s="379">
        <v>24</v>
      </c>
      <c r="AT144" s="437"/>
    </row>
    <row r="145" spans="2:40" s="301" customFormat="1" ht="12.75">
      <c r="B145" s="330" t="s">
        <v>408</v>
      </c>
      <c r="C145" s="329"/>
      <c r="D145" s="380">
        <v>28483.71</v>
      </c>
      <c r="E145" s="381">
        <v>0</v>
      </c>
      <c r="L145" s="330" t="s">
        <v>429</v>
      </c>
      <c r="M145" s="338"/>
      <c r="N145" s="365">
        <v>156115</v>
      </c>
      <c r="O145" s="366">
        <v>14.200906447170354</v>
      </c>
      <c r="P145" s="437"/>
      <c r="Q145" s="341"/>
      <c r="AA145" s="330" t="s">
        <v>453</v>
      </c>
      <c r="AB145" s="363"/>
      <c r="AC145" s="365">
        <v>21672.35</v>
      </c>
      <c r="AD145" s="364">
        <v>0</v>
      </c>
      <c r="AE145" s="329"/>
      <c r="AF145" s="382"/>
      <c r="AG145" s="383"/>
      <c r="AH145" s="384"/>
      <c r="AI145" s="385"/>
      <c r="AK145" s="330" t="s">
        <v>400</v>
      </c>
      <c r="AL145" s="363"/>
      <c r="AM145" s="378">
        <v>1172.24</v>
      </c>
      <c r="AN145" s="379">
        <v>12</v>
      </c>
    </row>
    <row r="146" spans="2:40" ht="12.75">
      <c r="B146" s="330" t="s">
        <v>409</v>
      </c>
      <c r="C146" s="386"/>
      <c r="D146" s="380">
        <v>57128.91</v>
      </c>
      <c r="E146" s="381">
        <v>0</v>
      </c>
      <c r="L146" s="372" t="s">
        <v>430</v>
      </c>
      <c r="M146" s="387"/>
      <c r="N146" s="365">
        <v>242815</v>
      </c>
      <c r="O146" s="374">
        <v>3.68823178139736</v>
      </c>
      <c r="P146" s="438"/>
      <c r="Q146" s="341"/>
      <c r="AA146" s="330" t="s">
        <v>454</v>
      </c>
      <c r="AB146" s="388"/>
      <c r="AC146" s="365">
        <v>49135.47</v>
      </c>
      <c r="AD146" s="364">
        <v>0</v>
      </c>
      <c r="AE146" s="329"/>
      <c r="AK146" s="330" t="s">
        <v>339</v>
      </c>
      <c r="AL146" s="363"/>
      <c r="AM146" s="378">
        <v>1034.29</v>
      </c>
      <c r="AN146" s="379">
        <v>9</v>
      </c>
    </row>
    <row r="147" spans="2:40" ht="12.75">
      <c r="B147" s="330" t="s">
        <v>410</v>
      </c>
      <c r="C147" s="386"/>
      <c r="D147" s="380">
        <v>58038.49</v>
      </c>
      <c r="E147" s="381">
        <v>0</v>
      </c>
      <c r="L147" s="389"/>
      <c r="M147" s="390"/>
      <c r="N147" s="391"/>
      <c r="O147" s="391"/>
      <c r="Q147" s="392"/>
      <c r="AA147" s="330" t="s">
        <v>455</v>
      </c>
      <c r="AB147" s="388"/>
      <c r="AC147" s="365">
        <v>312901.87</v>
      </c>
      <c r="AD147" s="364">
        <v>0</v>
      </c>
      <c r="AE147" s="329"/>
      <c r="AK147" s="330" t="s">
        <v>340</v>
      </c>
      <c r="AL147" s="363"/>
      <c r="AM147" s="378">
        <v>744.98</v>
      </c>
      <c r="AN147" s="379">
        <v>68</v>
      </c>
    </row>
    <row r="148" spans="2:40" ht="12.75">
      <c r="B148" s="372" t="s">
        <v>411</v>
      </c>
      <c r="C148" s="390"/>
      <c r="D148" s="380">
        <v>58490.54</v>
      </c>
      <c r="E148" s="381">
        <v>0</v>
      </c>
      <c r="AA148" s="330" t="s">
        <v>456</v>
      </c>
      <c r="AB148" s="388"/>
      <c r="AC148" s="365">
        <v>334416.85</v>
      </c>
      <c r="AD148" s="364">
        <v>0</v>
      </c>
      <c r="AE148" s="329"/>
      <c r="AK148" s="330" t="s">
        <v>260</v>
      </c>
      <c r="AL148" s="363"/>
      <c r="AM148" s="393">
        <v>677.97</v>
      </c>
      <c r="AN148" s="394">
        <v>972</v>
      </c>
    </row>
    <row r="149" spans="2:40" ht="12.75">
      <c r="B149" s="395"/>
      <c r="C149" s="396"/>
      <c r="D149" s="391"/>
      <c r="E149" s="391"/>
      <c r="AA149" s="395"/>
      <c r="AB149" s="397"/>
      <c r="AC149" s="391"/>
      <c r="AD149" s="391"/>
      <c r="AE149" s="329"/>
      <c r="AK149" s="330" t="s">
        <v>35</v>
      </c>
      <c r="AL149" s="363"/>
      <c r="AM149" s="435">
        <v>356.17</v>
      </c>
      <c r="AN149" s="439">
        <v>456</v>
      </c>
    </row>
    <row r="150" spans="37:40" ht="12.75">
      <c r="AK150" s="369"/>
      <c r="AL150" s="370"/>
      <c r="AM150" s="400"/>
      <c r="AN150" s="401"/>
    </row>
    <row r="151" spans="2:40" s="301" customFormat="1" ht="12.75">
      <c r="B151" s="402" t="s">
        <v>381</v>
      </c>
      <c r="C151" s="383"/>
      <c r="D151" s="403">
        <f>SUMPRODUCT(D133:D149,E133:E149)</f>
        <v>804197.0461404836</v>
      </c>
      <c r="G151" s="402" t="s">
        <v>381</v>
      </c>
      <c r="H151" s="383"/>
      <c r="I151" s="403">
        <f>SUMPRODUCT(I133:I149,J133:J149)</f>
        <v>2812873.67</v>
      </c>
      <c r="L151" s="402" t="s">
        <v>381</v>
      </c>
      <c r="M151" s="383"/>
      <c r="N151" s="403">
        <f>SUMPRODUCT(N134:N146,O134:O146)</f>
        <v>43085814.91</v>
      </c>
      <c r="Q151" s="402" t="s">
        <v>381</v>
      </c>
      <c r="R151" s="383"/>
      <c r="S151" s="403">
        <f>SUMPRODUCT(S133:S149,T133:T149)</f>
        <v>1366396.03</v>
      </c>
      <c r="V151" s="402" t="s">
        <v>381</v>
      </c>
      <c r="W151" s="383"/>
      <c r="X151" s="403">
        <f>SUMPRODUCT(X133:X149,Y133:Y149)</f>
        <v>40136853.25</v>
      </c>
      <c r="AA151" s="402" t="s">
        <v>381</v>
      </c>
      <c r="AB151" s="383"/>
      <c r="AC151" s="403">
        <f>SUMPRODUCT(AC133:AC149,AD133:AD149)</f>
        <v>408650.39999999997</v>
      </c>
      <c r="AF151" s="402" t="s">
        <v>381</v>
      </c>
      <c r="AG151" s="383"/>
      <c r="AH151" s="403">
        <f>SUMPRODUCT(AH133:AH149,AI133:AI149)</f>
        <v>41875774.51426087</v>
      </c>
      <c r="AK151" s="402" t="s">
        <v>381</v>
      </c>
      <c r="AL151" s="383"/>
      <c r="AM151" s="403">
        <f>SUMPRODUCT(AM133:AM149,AN133:AN149)</f>
        <v>2518498.0500000003</v>
      </c>
      <c r="AN151" s="404"/>
    </row>
    <row r="153" spans="2:37" s="301" customFormat="1" ht="12.75">
      <c r="B153" s="317" t="s">
        <v>139</v>
      </c>
      <c r="C153" s="318"/>
      <c r="D153" s="318"/>
      <c r="E153" s="318"/>
      <c r="F153" s="318"/>
      <c r="G153" s="319" t="s">
        <v>58</v>
      </c>
      <c r="L153" s="319" t="s">
        <v>141</v>
      </c>
      <c r="Q153" s="319" t="s">
        <v>388</v>
      </c>
      <c r="V153" s="317" t="s">
        <v>142</v>
      </c>
      <c r="AA153" s="319" t="s">
        <v>143</v>
      </c>
      <c r="AF153" s="319" t="s">
        <v>140</v>
      </c>
      <c r="AK153" s="103" t="s">
        <v>59</v>
      </c>
    </row>
    <row r="154" spans="2:40" s="301" customFormat="1" ht="12.75">
      <c r="B154" s="320" t="s">
        <v>397</v>
      </c>
      <c r="C154" s="383"/>
      <c r="D154" s="104" t="s">
        <v>346</v>
      </c>
      <c r="E154" s="105" t="s">
        <v>347</v>
      </c>
      <c r="G154" s="320" t="s">
        <v>397</v>
      </c>
      <c r="H154" s="383"/>
      <c r="I154" s="104" t="s">
        <v>346</v>
      </c>
      <c r="J154" s="105" t="s">
        <v>347</v>
      </c>
      <c r="L154" s="320" t="s">
        <v>397</v>
      </c>
      <c r="M154" s="383"/>
      <c r="N154" s="104" t="s">
        <v>346</v>
      </c>
      <c r="O154" s="105" t="s">
        <v>347</v>
      </c>
      <c r="Q154" s="320" t="s">
        <v>397</v>
      </c>
      <c r="R154" s="383"/>
      <c r="S154" s="104" t="s">
        <v>346</v>
      </c>
      <c r="T154" s="105" t="s">
        <v>347</v>
      </c>
      <c r="V154" s="320" t="s">
        <v>397</v>
      </c>
      <c r="W154" s="383"/>
      <c r="X154" s="104" t="s">
        <v>346</v>
      </c>
      <c r="Y154" s="105" t="s">
        <v>347</v>
      </c>
      <c r="AA154" s="320" t="s">
        <v>397</v>
      </c>
      <c r="AB154" s="383"/>
      <c r="AC154" s="104" t="s">
        <v>346</v>
      </c>
      <c r="AD154" s="105" t="s">
        <v>347</v>
      </c>
      <c r="AF154" s="320" t="s">
        <v>397</v>
      </c>
      <c r="AG154" s="383"/>
      <c r="AH154" s="104" t="s">
        <v>346</v>
      </c>
      <c r="AI154" s="105" t="s">
        <v>347</v>
      </c>
      <c r="AK154" s="320" t="s">
        <v>397</v>
      </c>
      <c r="AL154" s="383"/>
      <c r="AM154" s="104" t="s">
        <v>346</v>
      </c>
      <c r="AN154" s="105" t="s">
        <v>347</v>
      </c>
    </row>
    <row r="155" spans="2:40" s="301" customFormat="1" ht="12.75">
      <c r="B155" s="405" t="s">
        <v>348</v>
      </c>
      <c r="C155" s="169"/>
      <c r="D155" s="327">
        <f>D133</f>
        <v>424.02</v>
      </c>
      <c r="E155" s="406">
        <f>E133</f>
        <v>541.606817585407</v>
      </c>
      <c r="G155" s="405" t="s">
        <v>348</v>
      </c>
      <c r="H155" s="169"/>
      <c r="I155" s="327">
        <f>I133</f>
        <v>299.97</v>
      </c>
      <c r="J155" s="406">
        <f>J133</f>
        <v>1360</v>
      </c>
      <c r="L155" s="405" t="s">
        <v>348</v>
      </c>
      <c r="M155" s="169"/>
      <c r="N155" s="327">
        <f>N134</f>
        <v>310</v>
      </c>
      <c r="O155" s="406">
        <f>O134</f>
        <v>29519.46935483871</v>
      </c>
      <c r="Q155" s="405" t="s">
        <v>348</v>
      </c>
      <c r="R155" s="169"/>
      <c r="S155" s="327">
        <f>S133</f>
        <v>359.19</v>
      </c>
      <c r="T155" s="406">
        <f>T133</f>
        <v>22</v>
      </c>
      <c r="V155" s="405" t="s">
        <v>348</v>
      </c>
      <c r="W155" s="169"/>
      <c r="X155" s="327">
        <f>X143</f>
        <v>341</v>
      </c>
      <c r="Y155" s="406">
        <f>Y143</f>
        <v>10610</v>
      </c>
      <c r="AA155" s="405" t="s">
        <v>348</v>
      </c>
      <c r="AB155" s="169"/>
      <c r="AC155" s="327">
        <f>AC133</f>
        <v>366.84</v>
      </c>
      <c r="AD155" s="406">
        <f>AD133</f>
        <v>309</v>
      </c>
      <c r="AF155" s="405" t="s">
        <v>348</v>
      </c>
      <c r="AG155" s="169"/>
      <c r="AH155" s="327">
        <f>AH133</f>
        <v>348.79</v>
      </c>
      <c r="AI155" s="406">
        <f>AI133</f>
        <v>16870.134756444942</v>
      </c>
      <c r="AK155" s="405" t="s">
        <v>348</v>
      </c>
      <c r="AL155" s="169"/>
      <c r="AM155" s="327">
        <f>AM149</f>
        <v>356.17</v>
      </c>
      <c r="AN155" s="406">
        <f>AN149</f>
        <v>456</v>
      </c>
    </row>
    <row r="156" spans="2:40" s="301" customFormat="1" ht="12.75">
      <c r="B156" s="405" t="s">
        <v>349</v>
      </c>
      <c r="C156" s="169"/>
      <c r="D156" s="342">
        <f>D134</f>
        <v>604.57</v>
      </c>
      <c r="E156" s="407">
        <f>E134</f>
        <v>658.0002804638002</v>
      </c>
      <c r="G156" s="405" t="s">
        <v>349</v>
      </c>
      <c r="H156" s="169"/>
      <c r="I156" s="342">
        <f>I134</f>
        <v>569.5</v>
      </c>
      <c r="J156" s="407">
        <f>J134</f>
        <v>1868</v>
      </c>
      <c r="L156" s="405" t="s">
        <v>349</v>
      </c>
      <c r="M156" s="169"/>
      <c r="N156" s="342">
        <f>IF(O156&lt;&gt;0,SUMPRODUCT(N135:N136,O135:O136)/SUM(O135:O136),0)</f>
        <v>595</v>
      </c>
      <c r="O156" s="407">
        <f>SUM(O135:O136)</f>
        <v>30436.47981512605</v>
      </c>
      <c r="Q156" s="405" t="s">
        <v>349</v>
      </c>
      <c r="R156" s="169"/>
      <c r="S156" s="342">
        <f>S134</f>
        <v>466.36</v>
      </c>
      <c r="T156" s="407">
        <f>T134</f>
        <v>1781</v>
      </c>
      <c r="V156" s="405" t="s">
        <v>349</v>
      </c>
      <c r="W156" s="169"/>
      <c r="X156" s="342">
        <f>X133</f>
        <v>565.95</v>
      </c>
      <c r="Y156" s="407">
        <f>Y133</f>
        <v>36285</v>
      </c>
      <c r="AA156" s="405" t="s">
        <v>349</v>
      </c>
      <c r="AB156" s="169"/>
      <c r="AC156" s="342">
        <f>AC134</f>
        <v>620.97</v>
      </c>
      <c r="AD156" s="407">
        <f>AD134</f>
        <v>315</v>
      </c>
      <c r="AF156" s="405" t="s">
        <v>349</v>
      </c>
      <c r="AG156" s="169"/>
      <c r="AH156" s="342">
        <f>AH134</f>
        <v>510.18</v>
      </c>
      <c r="AI156" s="407">
        <f>AI134</f>
        <v>33085.45556173802</v>
      </c>
      <c r="AK156" s="405" t="s">
        <v>349</v>
      </c>
      <c r="AL156" s="169"/>
      <c r="AM156" s="342">
        <f>AM148</f>
        <v>677.97</v>
      </c>
      <c r="AN156" s="407">
        <f>AN148</f>
        <v>972</v>
      </c>
    </row>
    <row r="157" spans="2:40" s="301" customFormat="1" ht="12.75">
      <c r="B157" s="405" t="s">
        <v>350</v>
      </c>
      <c r="C157" s="169"/>
      <c r="D157" s="352">
        <f>IF(E157&lt;&gt;0,SUMPRODUCT(D135:D138,E135:E138)/SUM(E135:E138),0)</f>
        <v>969.47</v>
      </c>
      <c r="E157" s="408">
        <f>SUM(E135:E138)</f>
        <v>48.679241016142406</v>
      </c>
      <c r="G157" s="405" t="s">
        <v>350</v>
      </c>
      <c r="H157" s="169"/>
      <c r="I157" s="352">
        <f>IF(J157&lt;&gt;0,SUMPRODUCT(I135:I138,J135:J138)/SUM(J135:J138),0)</f>
        <v>911.6001960784314</v>
      </c>
      <c r="J157" s="408">
        <f>SUM(J135:J138)</f>
        <v>204</v>
      </c>
      <c r="L157" s="405" t="s">
        <v>350</v>
      </c>
      <c r="M157" s="169"/>
      <c r="N157" s="352">
        <f>IF(O157&lt;&gt;0,SUMPRODUCT(N137:N140,O137:O140)/SUM(O137:O140),0)</f>
        <v>828.3393387546041</v>
      </c>
      <c r="O157" s="408">
        <f>SUM(O137:O140)</f>
        <v>1845.7349041259718</v>
      </c>
      <c r="Q157" s="405" t="s">
        <v>350</v>
      </c>
      <c r="R157" s="169"/>
      <c r="S157" s="352">
        <f>IF(T157&lt;&gt;0,SUMPRODUCT(S135:S136,T135:T136)/SUM(T135:T136),0)</f>
        <v>803.3241935483871</v>
      </c>
      <c r="T157" s="408">
        <f>SUM(T135:T136)</f>
        <v>217</v>
      </c>
      <c r="V157" s="405" t="s">
        <v>350</v>
      </c>
      <c r="W157" s="169"/>
      <c r="X157" s="352">
        <f>IF(Y157&lt;&gt;0,SUMPRODUCT(X134:X135,Y134:Y135)/SUM(Y134:Y135),0)</f>
        <v>949.2741659538067</v>
      </c>
      <c r="Y157" s="408">
        <f>SUM(Y134:Y135)</f>
        <v>3507</v>
      </c>
      <c r="AA157" s="405" t="s">
        <v>350</v>
      </c>
      <c r="AB157" s="169"/>
      <c r="AC157" s="352">
        <f>IF(AD157&lt;&gt;0,SUMPRODUCT(AC135:AC138,AD135:AD138)/SUM(AD135:AD138),0)</f>
        <v>955.2223529411764</v>
      </c>
      <c r="AD157" s="408">
        <f>SUM(AD135:AD138)</f>
        <v>51</v>
      </c>
      <c r="AF157" s="405" t="s">
        <v>350</v>
      </c>
      <c r="AG157" s="169"/>
      <c r="AH157" s="352">
        <f>IF(AI157&lt;&gt;0,SUMPRODUCT(AH135:AH137,AI135:AI137)/SUM(AI135:AI137),0)</f>
        <v>851.639641621648</v>
      </c>
      <c r="AI157" s="408">
        <f>SUM(AI135:AI137)</f>
        <v>2907.7453779143248</v>
      </c>
      <c r="AK157" s="405" t="s">
        <v>350</v>
      </c>
      <c r="AL157" s="169"/>
      <c r="AM157" s="352">
        <f>SUMPRODUCT(AM144:AM147,AN144:AN147)/SUM(AN144:AN147)</f>
        <v>919.3349557522124</v>
      </c>
      <c r="AN157" s="408">
        <f>SUM(AN144:AN147)</f>
        <v>113</v>
      </c>
    </row>
    <row r="158" spans="2:40" s="301" customFormat="1" ht="12.75">
      <c r="B158" s="405" t="s">
        <v>341</v>
      </c>
      <c r="C158" s="169"/>
      <c r="D158" s="361">
        <f>IF(E158&lt;&gt;0,SUMPRODUCT(D139:D144,E139:E144)/SUM(E139:E144),0)</f>
        <v>7620.7501583473295</v>
      </c>
      <c r="E158" s="409">
        <f>SUM(E139:E144)</f>
        <v>16.998934134863916</v>
      </c>
      <c r="G158" s="405" t="s">
        <v>341</v>
      </c>
      <c r="H158" s="169"/>
      <c r="I158" s="361">
        <f>IF(J158&lt;&gt;0,SUMPRODUCT(I139:I140,J139:J140)/SUM(J139:J140),0)</f>
        <v>5767.557959183674</v>
      </c>
      <c r="J158" s="409">
        <f>SUM(J139:J140)</f>
        <v>49</v>
      </c>
      <c r="L158" s="405" t="s">
        <v>341</v>
      </c>
      <c r="M158" s="169"/>
      <c r="N158" s="361">
        <f>IF(O158&lt;&gt;0,SUMPRODUCT(N141:N143,O141:O143)/SUM(O141:O143),0)</f>
        <v>5070.975513653519</v>
      </c>
      <c r="O158" s="409">
        <f>SUM(O141:O143)</f>
        <v>1273.018684988483</v>
      </c>
      <c r="Q158" s="405" t="s">
        <v>341</v>
      </c>
      <c r="R158" s="169"/>
      <c r="S158" s="361">
        <f>IF(T158&lt;&gt;0,SUMPRODUCT(S137:S139,T137:T139)/SUM(T137:T139),0)</f>
        <v>6006.508181818182</v>
      </c>
      <c r="T158" s="409">
        <f>SUM(T137:T139)</f>
        <v>55</v>
      </c>
      <c r="V158" s="405" t="s">
        <v>341</v>
      </c>
      <c r="W158" s="169"/>
      <c r="X158" s="361">
        <f>IF(Y158&lt;&gt;0,SUMPRODUCT(X136:X138,Y136:Y138)/SUM(Y136:Y138),0)</f>
        <v>7673.054140127389</v>
      </c>
      <c r="Y158" s="409">
        <f>SUM(Y136:Y138)</f>
        <v>628</v>
      </c>
      <c r="AA158" s="405" t="s">
        <v>341</v>
      </c>
      <c r="AB158" s="169"/>
      <c r="AC158" s="361">
        <f>IF(AD158&lt;&gt;0,SUMPRODUCT(AC139:AC144,AD139:AD144)/SUM(AD139:AD144),0)</f>
        <v>5663.883333333334</v>
      </c>
      <c r="AD158" s="409">
        <f>SUM(AD139:AD144)</f>
        <v>9</v>
      </c>
      <c r="AF158" s="405" t="s">
        <v>341</v>
      </c>
      <c r="AG158" s="169"/>
      <c r="AH158" s="361">
        <f>IF(AI158&lt;&gt;0,SUMPRODUCT(AH138:AH140,AI138:AI140)/SUM(AI138:AI140),0)</f>
        <v>7635.718881068301</v>
      </c>
      <c r="AI158" s="409">
        <f>SUM(AI138:AI140)</f>
        <v>902.3335452064787</v>
      </c>
      <c r="AK158" s="405" t="s">
        <v>341</v>
      </c>
      <c r="AL158" s="169"/>
      <c r="AM158" s="361">
        <f>SUMPRODUCT(AM137:AM143,AN137:AN143)/SUM(AN137:AN143)</f>
        <v>5430.459318181819</v>
      </c>
      <c r="AN158" s="409">
        <f>SUM(AN137:AN143)</f>
        <v>44</v>
      </c>
    </row>
    <row r="159" spans="2:40" s="301" customFormat="1" ht="12.75">
      <c r="B159" s="405" t="s">
        <v>216</v>
      </c>
      <c r="C159" s="169"/>
      <c r="D159" s="380">
        <f>IF(E159&lt;&gt;0,SUMPRODUCT(D145:D148,E145:E148)/SUM(E145:E148),0)</f>
        <v>0</v>
      </c>
      <c r="E159" s="410">
        <f>SUM(E145:E148)</f>
        <v>0</v>
      </c>
      <c r="G159" s="405" t="s">
        <v>216</v>
      </c>
      <c r="H159" s="169"/>
      <c r="I159" s="380">
        <f>IF(J159&lt;&gt;0,SUMPRODUCT(I141:I143,J141:J143)/SUM(J141:J143),0)</f>
        <v>79319.24454545454</v>
      </c>
      <c r="J159" s="410">
        <f>SUM(J141:J143)</f>
        <v>11</v>
      </c>
      <c r="L159" s="405" t="s">
        <v>216</v>
      </c>
      <c r="M159" s="169"/>
      <c r="N159" s="380">
        <f>IF(O159&lt;&gt;0,SUMPRODUCT(N144:N146,O144:O146)/SUM(O144:O146),0)</f>
        <v>35983.56551526233</v>
      </c>
      <c r="O159" s="410">
        <f>SUM(O144:O146)</f>
        <v>217.89759846545434</v>
      </c>
      <c r="Q159" s="405" t="s">
        <v>216</v>
      </c>
      <c r="R159" s="169"/>
      <c r="S159" s="380">
        <f>IF(T159&lt;&gt;0,SUMPRODUCT(S140:S143,T140:T143)/SUM(T140:T143),0)</f>
        <v>23227.39</v>
      </c>
      <c r="T159" s="410">
        <f>SUM(T140:T143)</f>
        <v>1</v>
      </c>
      <c r="V159" s="405" t="s">
        <v>216</v>
      </c>
      <c r="W159" s="169"/>
      <c r="X159" s="380">
        <f>IF(Y159&lt;&gt;0,SUMPRODUCT(X139:X142,Y139:Y142)/SUM(Y139:Y142),0)</f>
        <v>92183.11764705883</v>
      </c>
      <c r="Y159" s="410">
        <f>SUM(Y139:Y142)</f>
        <v>85</v>
      </c>
      <c r="AA159" s="405" t="s">
        <v>216</v>
      </c>
      <c r="AB159" s="169"/>
      <c r="AC159" s="380">
        <f>IF(AD159&lt;&gt;0,SUMPRODUCT(AC145:AC148,AD145:AD148)/SUM(AD145:AD148),0)</f>
        <v>0</v>
      </c>
      <c r="AD159" s="410">
        <f>SUM(AD145:AD148)</f>
        <v>0</v>
      </c>
      <c r="AF159" s="405" t="s">
        <v>216</v>
      </c>
      <c r="AG159" s="169"/>
      <c r="AH159" s="380">
        <f>IF(AI159&lt;&gt;0,SUMPRODUCT(AH141:AH144,AI141:AI144)/SUM(AI141:AI144),0)</f>
        <v>81103.7716958527</v>
      </c>
      <c r="AI159" s="410">
        <f>SUM(AI141:AI144)</f>
        <v>120.16439889987183</v>
      </c>
      <c r="AK159" s="405" t="s">
        <v>216</v>
      </c>
      <c r="AL159" s="169"/>
      <c r="AM159" s="380">
        <f>SUMPRODUCT(AM133:AM136,AN133:AN136)/SUM(AN133:AN136)</f>
        <v>50158.24555555556</v>
      </c>
      <c r="AN159" s="410">
        <f>SUM(AN133:AN136)</f>
        <v>27</v>
      </c>
    </row>
    <row r="160" spans="2:40" s="318" customFormat="1" ht="12.75">
      <c r="B160" s="411" t="s">
        <v>381</v>
      </c>
      <c r="C160" s="412"/>
      <c r="D160" s="413">
        <f>SUMPRODUCT(D155:D159,E155:E159)</f>
        <v>804197.0461404836</v>
      </c>
      <c r="E160" s="414"/>
      <c r="G160" s="411" t="s">
        <v>381</v>
      </c>
      <c r="H160" s="412"/>
      <c r="I160" s="413">
        <f>SUMPRODUCT(I155:I159,J155:J159)</f>
        <v>2812873.67</v>
      </c>
      <c r="J160" s="414"/>
      <c r="L160" s="411" t="s">
        <v>381</v>
      </c>
      <c r="M160" s="412"/>
      <c r="N160" s="413">
        <f>SUMPRODUCT(N155:N159,O155:O159)</f>
        <v>43085814.91</v>
      </c>
      <c r="O160" s="414"/>
      <c r="Q160" s="411" t="s">
        <v>381</v>
      </c>
      <c r="R160" s="412"/>
      <c r="S160" s="413">
        <f>SUMPRODUCT(S155:S159,T155:T159)</f>
        <v>1366396.03</v>
      </c>
      <c r="T160" s="414"/>
      <c r="V160" s="411" t="s">
        <v>381</v>
      </c>
      <c r="W160" s="412"/>
      <c r="X160" s="413">
        <f>SUMPRODUCT(X155:X159,Y155:Y159)</f>
        <v>40136853.25</v>
      </c>
      <c r="Y160" s="414"/>
      <c r="AA160" s="411" t="s">
        <v>381</v>
      </c>
      <c r="AB160" s="412"/>
      <c r="AC160" s="413">
        <f>SUMPRODUCT(AC155:AC159,AD155:AD159)</f>
        <v>408650.39999999997</v>
      </c>
      <c r="AD160" s="414"/>
      <c r="AF160" s="411" t="s">
        <v>381</v>
      </c>
      <c r="AG160" s="412"/>
      <c r="AH160" s="413">
        <f>SUMPRODUCT(AH155:AH159,AI155:AI159)</f>
        <v>41875774.51426087</v>
      </c>
      <c r="AI160" s="414"/>
      <c r="AK160" s="411" t="s">
        <v>381</v>
      </c>
      <c r="AL160" s="412"/>
      <c r="AM160" s="413">
        <f>SUMPRODUCT(AM155:AM159,AN155:AN159)</f>
        <v>2518498.0500000003</v>
      </c>
      <c r="AN160" s="414"/>
    </row>
    <row r="161" spans="2:29" ht="12.75">
      <c r="B161" s="301"/>
      <c r="C161" s="301"/>
      <c r="D161" s="301"/>
      <c r="E161" s="301"/>
      <c r="L161" s="301"/>
      <c r="M161" s="301"/>
      <c r="N161" s="301"/>
      <c r="O161" s="301"/>
      <c r="P161" s="301"/>
      <c r="AA161" s="301"/>
      <c r="AB161" s="301"/>
      <c r="AC161" s="301"/>
    </row>
    <row r="162" spans="2:29" ht="12.75">
      <c r="B162" s="301"/>
      <c r="C162" s="301"/>
      <c r="D162" s="301"/>
      <c r="E162" s="301"/>
      <c r="L162" s="301"/>
      <c r="M162" s="301"/>
      <c r="N162" s="301"/>
      <c r="O162" s="301"/>
      <c r="P162" s="301"/>
      <c r="AA162" s="301"/>
      <c r="AB162" s="301"/>
      <c r="AC162" s="301"/>
    </row>
    <row r="163" spans="1:6" ht="12.75">
      <c r="A163" s="110"/>
      <c r="B163" s="102" t="s">
        <v>412</v>
      </c>
      <c r="C163" s="84"/>
      <c r="D163" s="84"/>
      <c r="E163" s="84"/>
      <c r="F163" s="84"/>
    </row>
    <row r="164" spans="1:6" ht="12.75">
      <c r="A164" s="110"/>
      <c r="B164" s="102"/>
      <c r="C164" s="84"/>
      <c r="D164" s="84"/>
      <c r="E164" s="84"/>
      <c r="F164" s="84"/>
    </row>
    <row r="165" spans="2:37" s="301" customFormat="1" ht="12.75">
      <c r="B165" s="317" t="s">
        <v>139</v>
      </c>
      <c r="C165" s="318"/>
      <c r="D165" s="318"/>
      <c r="E165" s="318"/>
      <c r="F165" s="318"/>
      <c r="G165" s="319" t="s">
        <v>58</v>
      </c>
      <c r="L165" s="319" t="s">
        <v>141</v>
      </c>
      <c r="Q165" s="319" t="s">
        <v>388</v>
      </c>
      <c r="V165" s="317" t="s">
        <v>142</v>
      </c>
      <c r="AA165" s="319" t="s">
        <v>143</v>
      </c>
      <c r="AF165" s="319" t="s">
        <v>140</v>
      </c>
      <c r="AK165" s="103" t="s">
        <v>59</v>
      </c>
    </row>
    <row r="166" spans="2:40" s="301" customFormat="1" ht="12.75">
      <c r="B166" s="320" t="s">
        <v>412</v>
      </c>
      <c r="C166" s="321"/>
      <c r="D166" s="320" t="s">
        <v>346</v>
      </c>
      <c r="E166" s="322" t="s">
        <v>347</v>
      </c>
      <c r="G166" s="320" t="s">
        <v>412</v>
      </c>
      <c r="H166" s="321"/>
      <c r="I166" s="104" t="s">
        <v>346</v>
      </c>
      <c r="J166" s="122" t="s">
        <v>347</v>
      </c>
      <c r="L166" s="320" t="s">
        <v>412</v>
      </c>
      <c r="M166" s="321"/>
      <c r="N166" s="104" t="s">
        <v>346</v>
      </c>
      <c r="O166" s="117" t="s">
        <v>347</v>
      </c>
      <c r="Q166" s="320" t="s">
        <v>412</v>
      </c>
      <c r="R166" s="321"/>
      <c r="S166" s="104" t="s">
        <v>346</v>
      </c>
      <c r="T166" s="117" t="s">
        <v>347</v>
      </c>
      <c r="V166" s="320" t="s">
        <v>412</v>
      </c>
      <c r="W166" s="321"/>
      <c r="X166" s="104" t="s">
        <v>346</v>
      </c>
      <c r="Y166" s="117" t="s">
        <v>347</v>
      </c>
      <c r="AA166" s="320" t="s">
        <v>412</v>
      </c>
      <c r="AB166" s="321"/>
      <c r="AC166" s="104" t="s">
        <v>346</v>
      </c>
      <c r="AD166" s="117" t="s">
        <v>347</v>
      </c>
      <c r="AF166" s="320" t="s">
        <v>412</v>
      </c>
      <c r="AG166" s="321"/>
      <c r="AH166" s="104" t="s">
        <v>346</v>
      </c>
      <c r="AI166" s="117" t="s">
        <v>347</v>
      </c>
      <c r="AK166" s="320" t="s">
        <v>412</v>
      </c>
      <c r="AL166" s="321"/>
      <c r="AM166" s="104" t="s">
        <v>346</v>
      </c>
      <c r="AN166" s="117" t="s">
        <v>347</v>
      </c>
    </row>
    <row r="167" spans="2:46" s="301" customFormat="1" ht="12.75">
      <c r="B167" s="325" t="s">
        <v>398</v>
      </c>
      <c r="C167" s="326"/>
      <c r="D167" s="327">
        <v>21.89</v>
      </c>
      <c r="E167" s="328">
        <v>704.6697121973505</v>
      </c>
      <c r="F167" s="437"/>
      <c r="G167" s="330" t="s">
        <v>413</v>
      </c>
      <c r="H167" s="331"/>
      <c r="I167" s="332">
        <v>14.86</v>
      </c>
      <c r="J167" s="333">
        <v>680</v>
      </c>
      <c r="L167" s="323"/>
      <c r="M167" s="335"/>
      <c r="N167" s="123"/>
      <c r="O167" s="119"/>
      <c r="Q167" s="330" t="s">
        <v>431</v>
      </c>
      <c r="R167" s="331"/>
      <c r="S167" s="332">
        <v>23.97</v>
      </c>
      <c r="T167" s="334">
        <v>0</v>
      </c>
      <c r="V167" s="336" t="s">
        <v>260</v>
      </c>
      <c r="W167" s="331"/>
      <c r="X167" s="337">
        <v>22.37</v>
      </c>
      <c r="Y167" s="416">
        <v>34778</v>
      </c>
      <c r="AA167" s="325" t="s">
        <v>441</v>
      </c>
      <c r="AB167" s="331"/>
      <c r="AC167" s="332">
        <v>18.18</v>
      </c>
      <c r="AD167" s="333">
        <v>261</v>
      </c>
      <c r="AF167" s="325" t="s">
        <v>457</v>
      </c>
      <c r="AG167" s="326"/>
      <c r="AH167" s="332">
        <v>16.21</v>
      </c>
      <c r="AI167" s="334">
        <v>9172.688645745211</v>
      </c>
      <c r="AK167" s="330" t="s">
        <v>466</v>
      </c>
      <c r="AL167" s="331"/>
      <c r="AM167" s="339">
        <v>132.66</v>
      </c>
      <c r="AN167" s="440">
        <v>0</v>
      </c>
      <c r="AT167" s="437"/>
    </row>
    <row r="168" spans="2:46" s="301" customFormat="1" ht="12.75">
      <c r="B168" s="330" t="s">
        <v>399</v>
      </c>
      <c r="C168" s="338"/>
      <c r="D168" s="342">
        <v>17.28</v>
      </c>
      <c r="E168" s="343">
        <v>256.8350019581515</v>
      </c>
      <c r="F168" s="437"/>
      <c r="G168" s="330" t="s">
        <v>414</v>
      </c>
      <c r="H168" s="344"/>
      <c r="I168" s="345">
        <v>24.18</v>
      </c>
      <c r="J168" s="346">
        <v>7147</v>
      </c>
      <c r="L168" s="330" t="s">
        <v>420</v>
      </c>
      <c r="M168" s="338"/>
      <c r="N168" s="418">
        <v>15</v>
      </c>
      <c r="O168" s="334">
        <v>44844.573333333334</v>
      </c>
      <c r="Q168" s="330" t="s">
        <v>262</v>
      </c>
      <c r="R168" s="344"/>
      <c r="S168" s="345">
        <v>24.89</v>
      </c>
      <c r="T168" s="347">
        <v>600</v>
      </c>
      <c r="V168" s="348" t="s">
        <v>264</v>
      </c>
      <c r="W168" s="344"/>
      <c r="X168" s="349">
        <v>29.27</v>
      </c>
      <c r="Y168" s="355">
        <v>20149</v>
      </c>
      <c r="AA168" s="330" t="s">
        <v>442</v>
      </c>
      <c r="AB168" s="344"/>
      <c r="AC168" s="345">
        <v>21.31</v>
      </c>
      <c r="AD168" s="346">
        <v>583</v>
      </c>
      <c r="AF168" s="330" t="s">
        <v>458</v>
      </c>
      <c r="AG168" s="338"/>
      <c r="AH168" s="345">
        <v>22.41</v>
      </c>
      <c r="AI168" s="347">
        <v>32266.73986069841</v>
      </c>
      <c r="AK168" s="330" t="s">
        <v>467</v>
      </c>
      <c r="AL168" s="344"/>
      <c r="AM168" s="350">
        <v>128.87</v>
      </c>
      <c r="AN168" s="441">
        <v>901.277411344766</v>
      </c>
      <c r="AT168" s="437"/>
    </row>
    <row r="169" spans="2:46" s="301" customFormat="1" ht="12.75">
      <c r="B169" s="330" t="s">
        <v>340</v>
      </c>
      <c r="C169" s="338"/>
      <c r="D169" s="352">
        <v>24.2</v>
      </c>
      <c r="E169" s="353">
        <v>1218.6744561070743</v>
      </c>
      <c r="F169" s="437"/>
      <c r="G169" s="330" t="s">
        <v>340</v>
      </c>
      <c r="H169" s="344"/>
      <c r="I169" s="354">
        <v>29.54</v>
      </c>
      <c r="J169" s="349">
        <v>798</v>
      </c>
      <c r="L169" s="330" t="s">
        <v>421</v>
      </c>
      <c r="M169" s="338"/>
      <c r="N169" s="420">
        <v>17</v>
      </c>
      <c r="O169" s="347">
        <v>90185.23529411765</v>
      </c>
      <c r="Q169" s="330" t="s">
        <v>432</v>
      </c>
      <c r="R169" s="344"/>
      <c r="S169" s="354">
        <v>28.61</v>
      </c>
      <c r="T169" s="355">
        <v>664</v>
      </c>
      <c r="V169" s="348" t="s">
        <v>270</v>
      </c>
      <c r="W169" s="344"/>
      <c r="X169" s="349">
        <v>30.22</v>
      </c>
      <c r="Y169" s="355">
        <v>17327</v>
      </c>
      <c r="AA169" s="330" t="s">
        <v>443</v>
      </c>
      <c r="AB169" s="344"/>
      <c r="AC169" s="354">
        <v>24.61</v>
      </c>
      <c r="AD169" s="349">
        <v>0</v>
      </c>
      <c r="AF169" s="330" t="s">
        <v>340</v>
      </c>
      <c r="AG169" s="338"/>
      <c r="AH169" s="354">
        <v>29.21</v>
      </c>
      <c r="AI169" s="355">
        <v>7784.042171266582</v>
      </c>
      <c r="AK169" s="330" t="s">
        <v>468</v>
      </c>
      <c r="AL169" s="344"/>
      <c r="AM169" s="350">
        <v>546.99</v>
      </c>
      <c r="AN169" s="441">
        <v>47</v>
      </c>
      <c r="AT169" s="437"/>
    </row>
    <row r="170" spans="2:46" s="301" customFormat="1" ht="12.75">
      <c r="B170" s="330" t="s">
        <v>339</v>
      </c>
      <c r="C170" s="338"/>
      <c r="D170" s="352">
        <v>24.2</v>
      </c>
      <c r="E170" s="353">
        <v>0</v>
      </c>
      <c r="F170" s="437"/>
      <c r="G170" s="330" t="s">
        <v>339</v>
      </c>
      <c r="H170" s="344"/>
      <c r="I170" s="354">
        <v>31.33</v>
      </c>
      <c r="J170" s="349">
        <v>901</v>
      </c>
      <c r="L170" s="330" t="s">
        <v>422</v>
      </c>
      <c r="M170" s="338"/>
      <c r="N170" s="420">
        <v>17</v>
      </c>
      <c r="O170" s="347">
        <v>0</v>
      </c>
      <c r="Q170" s="330" t="s">
        <v>433</v>
      </c>
      <c r="R170" s="344"/>
      <c r="S170" s="354">
        <v>49.96</v>
      </c>
      <c r="T170" s="355">
        <v>1002.5796637309847</v>
      </c>
      <c r="V170" s="348" t="s">
        <v>276</v>
      </c>
      <c r="W170" s="344"/>
      <c r="X170" s="356">
        <v>39.99</v>
      </c>
      <c r="Y170" s="360">
        <v>30283</v>
      </c>
      <c r="AA170" s="330" t="s">
        <v>444</v>
      </c>
      <c r="AB170" s="344"/>
      <c r="AC170" s="354">
        <v>24.61</v>
      </c>
      <c r="AD170" s="349">
        <v>12</v>
      </c>
      <c r="AF170" s="330" t="s">
        <v>459</v>
      </c>
      <c r="AG170" s="338"/>
      <c r="AH170" s="354">
        <v>29.21</v>
      </c>
      <c r="AI170" s="355">
        <v>9151.1713034554</v>
      </c>
      <c r="AK170" s="330" t="s">
        <v>469</v>
      </c>
      <c r="AL170" s="344"/>
      <c r="AM170" s="350">
        <v>318.4</v>
      </c>
      <c r="AN170" s="441">
        <v>0</v>
      </c>
      <c r="AT170" s="437"/>
    </row>
    <row r="171" spans="2:46" s="301" customFormat="1" ht="12.75">
      <c r="B171" s="330" t="s">
        <v>400</v>
      </c>
      <c r="C171" s="338"/>
      <c r="D171" s="352">
        <v>24.2</v>
      </c>
      <c r="E171" s="353">
        <v>0</v>
      </c>
      <c r="F171" s="437"/>
      <c r="G171" s="330" t="s">
        <v>400</v>
      </c>
      <c r="H171" s="344"/>
      <c r="I171" s="354">
        <v>31.33</v>
      </c>
      <c r="J171" s="349">
        <v>143</v>
      </c>
      <c r="L171" s="330" t="s">
        <v>423</v>
      </c>
      <c r="M171" s="338"/>
      <c r="N171" s="421">
        <v>17</v>
      </c>
      <c r="O171" s="355">
        <v>0</v>
      </c>
      <c r="Q171" s="330" t="s">
        <v>434</v>
      </c>
      <c r="R171" s="344"/>
      <c r="S171" s="357">
        <v>49.96</v>
      </c>
      <c r="T171" s="360">
        <v>2657</v>
      </c>
      <c r="V171" s="348" t="s">
        <v>284</v>
      </c>
      <c r="W171" s="344"/>
      <c r="X171" s="356">
        <v>49.51</v>
      </c>
      <c r="Y171" s="360">
        <v>31083</v>
      </c>
      <c r="AA171" s="330" t="s">
        <v>445</v>
      </c>
      <c r="AB171" s="344"/>
      <c r="AC171" s="354">
        <v>27.8</v>
      </c>
      <c r="AD171" s="349">
        <v>49</v>
      </c>
      <c r="AF171" s="330" t="s">
        <v>460</v>
      </c>
      <c r="AG171" s="338"/>
      <c r="AH171" s="354">
        <v>34.66</v>
      </c>
      <c r="AI171" s="355">
        <v>7496.316917832678</v>
      </c>
      <c r="AK171" s="330" t="s">
        <v>470</v>
      </c>
      <c r="AL171" s="344"/>
      <c r="AM171" s="358">
        <v>301.55</v>
      </c>
      <c r="AN171" s="442">
        <v>185</v>
      </c>
      <c r="AT171" s="437"/>
    </row>
    <row r="172" spans="2:46" s="301" customFormat="1" ht="12.75">
      <c r="B172" s="330" t="s">
        <v>401</v>
      </c>
      <c r="C172" s="338"/>
      <c r="D172" s="352">
        <v>24.2</v>
      </c>
      <c r="E172" s="353">
        <v>0</v>
      </c>
      <c r="F172" s="437"/>
      <c r="G172" s="330" t="s">
        <v>401</v>
      </c>
      <c r="H172" s="344"/>
      <c r="I172" s="354">
        <v>31.33</v>
      </c>
      <c r="J172" s="349">
        <v>1623</v>
      </c>
      <c r="L172" s="330" t="s">
        <v>424</v>
      </c>
      <c r="M172" s="338"/>
      <c r="N172" s="421">
        <v>17</v>
      </c>
      <c r="O172" s="355">
        <v>0</v>
      </c>
      <c r="Q172" s="330" t="s">
        <v>435</v>
      </c>
      <c r="R172" s="344"/>
      <c r="S172" s="357">
        <v>54.62</v>
      </c>
      <c r="T172" s="360">
        <v>1770</v>
      </c>
      <c r="V172" s="348" t="s">
        <v>292</v>
      </c>
      <c r="W172" s="344"/>
      <c r="X172" s="356">
        <v>107.59</v>
      </c>
      <c r="Y172" s="360">
        <v>24364</v>
      </c>
      <c r="AA172" s="330" t="s">
        <v>446</v>
      </c>
      <c r="AB172" s="344"/>
      <c r="AC172" s="354">
        <v>27.8</v>
      </c>
      <c r="AD172" s="349">
        <v>20</v>
      </c>
      <c r="AF172" s="330" t="s">
        <v>461</v>
      </c>
      <c r="AG172" s="338"/>
      <c r="AH172" s="357">
        <v>48.85</v>
      </c>
      <c r="AI172" s="360">
        <v>19641.156095032522</v>
      </c>
      <c r="AK172" s="330" t="s">
        <v>471</v>
      </c>
      <c r="AL172" s="344"/>
      <c r="AM172" s="358">
        <v>142.86</v>
      </c>
      <c r="AN172" s="442">
        <v>410</v>
      </c>
      <c r="AT172" s="437"/>
    </row>
    <row r="173" spans="2:46" s="301" customFormat="1" ht="12.75">
      <c r="B173" s="330" t="s">
        <v>402</v>
      </c>
      <c r="C173" s="338"/>
      <c r="D173" s="361">
        <v>31.09</v>
      </c>
      <c r="E173" s="362">
        <v>370</v>
      </c>
      <c r="F173" s="437"/>
      <c r="G173" s="330" t="s">
        <v>415</v>
      </c>
      <c r="H173" s="344"/>
      <c r="I173" s="357">
        <v>46.56</v>
      </c>
      <c r="J173" s="356">
        <v>6788</v>
      </c>
      <c r="L173" s="330" t="s">
        <v>400</v>
      </c>
      <c r="M173" s="338"/>
      <c r="N173" s="421">
        <v>22</v>
      </c>
      <c r="O173" s="355">
        <v>39048.40909090909</v>
      </c>
      <c r="Q173" s="330" t="s">
        <v>436</v>
      </c>
      <c r="R173" s="344"/>
      <c r="S173" s="357">
        <v>93.96</v>
      </c>
      <c r="T173" s="360">
        <v>744</v>
      </c>
      <c r="V173" s="348" t="s">
        <v>300</v>
      </c>
      <c r="W173" s="363"/>
      <c r="X173" s="364">
        <v>107.59</v>
      </c>
      <c r="Y173" s="366">
        <v>3916</v>
      </c>
      <c r="AA173" s="330" t="s">
        <v>447</v>
      </c>
      <c r="AB173" s="344"/>
      <c r="AC173" s="357">
        <v>32.11</v>
      </c>
      <c r="AD173" s="356">
        <v>0</v>
      </c>
      <c r="AF173" s="330" t="s">
        <v>462</v>
      </c>
      <c r="AG173" s="338"/>
      <c r="AH173" s="357">
        <v>50.18</v>
      </c>
      <c r="AI173" s="360">
        <v>54371.92602971542</v>
      </c>
      <c r="AK173" s="330" t="s">
        <v>472</v>
      </c>
      <c r="AL173" s="344"/>
      <c r="AM173" s="358">
        <v>142.86</v>
      </c>
      <c r="AN173" s="442">
        <v>0</v>
      </c>
      <c r="AT173" s="437"/>
    </row>
    <row r="174" spans="2:46" s="301" customFormat="1" ht="12.75">
      <c r="B174" s="330" t="s">
        <v>403</v>
      </c>
      <c r="C174" s="338"/>
      <c r="D174" s="361">
        <v>31.09</v>
      </c>
      <c r="E174" s="362">
        <v>0</v>
      </c>
      <c r="F174" s="437"/>
      <c r="G174" s="330" t="s">
        <v>416</v>
      </c>
      <c r="H174" s="344"/>
      <c r="I174" s="357">
        <v>89.54</v>
      </c>
      <c r="J174" s="356">
        <v>825</v>
      </c>
      <c r="L174" s="330" t="s">
        <v>401</v>
      </c>
      <c r="M174" s="338"/>
      <c r="N174" s="421">
        <v>22</v>
      </c>
      <c r="O174" s="355">
        <v>0</v>
      </c>
      <c r="Q174" s="330" t="s">
        <v>437</v>
      </c>
      <c r="R174" s="344"/>
      <c r="S174" s="365">
        <v>93.96</v>
      </c>
      <c r="T174" s="366">
        <v>0</v>
      </c>
      <c r="V174" s="348" t="s">
        <v>359</v>
      </c>
      <c r="W174" s="344"/>
      <c r="X174" s="364">
        <v>107.59</v>
      </c>
      <c r="Y174" s="366">
        <v>5946</v>
      </c>
      <c r="AA174" s="330" t="s">
        <v>448</v>
      </c>
      <c r="AB174" s="344"/>
      <c r="AC174" s="357">
        <v>32.11</v>
      </c>
      <c r="AD174" s="356">
        <v>336</v>
      </c>
      <c r="AF174" s="330" t="s">
        <v>463</v>
      </c>
      <c r="AG174" s="329"/>
      <c r="AH174" s="357">
        <v>87.03</v>
      </c>
      <c r="AI174" s="360">
        <v>8897.004869645358</v>
      </c>
      <c r="AK174" s="330" t="s">
        <v>473</v>
      </c>
      <c r="AL174" s="344"/>
      <c r="AM174" s="358">
        <v>107.15</v>
      </c>
      <c r="AN174" s="442">
        <v>175</v>
      </c>
      <c r="AT174" s="437"/>
    </row>
    <row r="175" spans="2:46" s="301" customFormat="1" ht="12.75">
      <c r="B175" s="330" t="s">
        <v>404</v>
      </c>
      <c r="C175" s="338"/>
      <c r="D175" s="361">
        <v>38.02</v>
      </c>
      <c r="E175" s="362">
        <v>621.4143327841845</v>
      </c>
      <c r="F175" s="437"/>
      <c r="G175" s="330" t="s">
        <v>417</v>
      </c>
      <c r="H175" s="344"/>
      <c r="I175" s="365">
        <v>89.54</v>
      </c>
      <c r="J175" s="364">
        <v>6805</v>
      </c>
      <c r="L175" s="330" t="s">
        <v>425</v>
      </c>
      <c r="M175" s="338"/>
      <c r="N175" s="423">
        <v>28</v>
      </c>
      <c r="O175" s="360">
        <v>142120</v>
      </c>
      <c r="Q175" s="330" t="s">
        <v>438</v>
      </c>
      <c r="R175" s="344"/>
      <c r="S175" s="365">
        <v>93.96</v>
      </c>
      <c r="T175" s="366">
        <v>0</v>
      </c>
      <c r="V175" s="348" t="s">
        <v>314</v>
      </c>
      <c r="W175" s="344"/>
      <c r="X175" s="364">
        <v>107.59</v>
      </c>
      <c r="Y175" s="366">
        <v>5076.666666666667</v>
      </c>
      <c r="AA175" s="330" t="s">
        <v>449</v>
      </c>
      <c r="AB175" s="344"/>
      <c r="AC175" s="357">
        <v>37.48</v>
      </c>
      <c r="AD175" s="356">
        <v>440</v>
      </c>
      <c r="AF175" s="330" t="s">
        <v>464</v>
      </c>
      <c r="AG175" s="169"/>
      <c r="AH175" s="365">
        <v>104.93</v>
      </c>
      <c r="AI175" s="366">
        <v>833.3088468242107</v>
      </c>
      <c r="AK175" s="330" t="s">
        <v>32</v>
      </c>
      <c r="AL175" s="344"/>
      <c r="AM175" s="358">
        <v>68.92</v>
      </c>
      <c r="AN175" s="442">
        <v>920</v>
      </c>
      <c r="AT175" s="437"/>
    </row>
    <row r="176" spans="2:46" s="301" customFormat="1" ht="12.75">
      <c r="B176" s="330" t="s">
        <v>405</v>
      </c>
      <c r="C176" s="338"/>
      <c r="D176" s="361">
        <v>38.02</v>
      </c>
      <c r="E176" s="362">
        <v>1888.782482903735</v>
      </c>
      <c r="F176" s="437"/>
      <c r="G176" s="330" t="s">
        <v>418</v>
      </c>
      <c r="H176" s="344"/>
      <c r="I176" s="365">
        <v>89.54</v>
      </c>
      <c r="J176" s="364"/>
      <c r="L176" s="330" t="s">
        <v>426</v>
      </c>
      <c r="M176" s="338"/>
      <c r="N176" s="423">
        <v>28</v>
      </c>
      <c r="O176" s="360">
        <v>0</v>
      </c>
      <c r="Q176" s="330" t="s">
        <v>439</v>
      </c>
      <c r="R176" s="344"/>
      <c r="S176" s="365">
        <v>138.05</v>
      </c>
      <c r="T176" s="366">
        <v>0</v>
      </c>
      <c r="V176" s="348" t="s">
        <v>322</v>
      </c>
      <c r="W176" s="344"/>
      <c r="X176" s="364">
        <v>179.95</v>
      </c>
      <c r="Y176" s="366">
        <v>9135</v>
      </c>
      <c r="AA176" s="330" t="s">
        <v>450</v>
      </c>
      <c r="AB176" s="344"/>
      <c r="AC176" s="357">
        <v>37.48</v>
      </c>
      <c r="AD176" s="356">
        <v>345</v>
      </c>
      <c r="AF176" s="330" t="s">
        <v>465</v>
      </c>
      <c r="AG176" s="169"/>
      <c r="AH176" s="365">
        <v>110.63</v>
      </c>
      <c r="AI176" s="366">
        <v>2116.3176612666725</v>
      </c>
      <c r="AK176" s="330" t="s">
        <v>33</v>
      </c>
      <c r="AL176" s="344"/>
      <c r="AM176" s="358">
        <v>59.01</v>
      </c>
      <c r="AN176" s="442">
        <v>208</v>
      </c>
      <c r="AT176" s="437"/>
    </row>
    <row r="177" spans="2:46" s="301" customFormat="1" ht="12.75">
      <c r="B177" s="330" t="s">
        <v>406</v>
      </c>
      <c r="C177" s="338"/>
      <c r="D177" s="361">
        <v>62.21</v>
      </c>
      <c r="E177" s="362">
        <v>401.27953705192095</v>
      </c>
      <c r="F177" s="437"/>
      <c r="G177" s="330" t="s">
        <v>419</v>
      </c>
      <c r="H177" s="344"/>
      <c r="I177" s="365">
        <v>141.48</v>
      </c>
      <c r="J177" s="364">
        <v>9850</v>
      </c>
      <c r="L177" s="330" t="s">
        <v>427</v>
      </c>
      <c r="M177" s="338"/>
      <c r="N177" s="423">
        <v>63</v>
      </c>
      <c r="O177" s="360">
        <v>23091.04761904762</v>
      </c>
      <c r="Q177" s="330" t="s">
        <v>440</v>
      </c>
      <c r="R177" s="344"/>
      <c r="S177" s="365">
        <v>187.46</v>
      </c>
      <c r="T177" s="366">
        <v>0</v>
      </c>
      <c r="V177" s="348" t="s">
        <v>329</v>
      </c>
      <c r="W177" s="344"/>
      <c r="X177" s="368">
        <v>16.93</v>
      </c>
      <c r="Y177" s="424">
        <v>17007</v>
      </c>
      <c r="AA177" s="330" t="s">
        <v>451</v>
      </c>
      <c r="AB177" s="344"/>
      <c r="AC177" s="357">
        <v>53.48</v>
      </c>
      <c r="AD177" s="356">
        <v>85</v>
      </c>
      <c r="AF177" s="330" t="s">
        <v>289</v>
      </c>
      <c r="AG177" s="169"/>
      <c r="AH177" s="365">
        <v>148.84</v>
      </c>
      <c r="AI177" s="366">
        <v>10973.974274301996</v>
      </c>
      <c r="AK177" s="330" t="s">
        <v>34</v>
      </c>
      <c r="AL177" s="344"/>
      <c r="AM177" s="358">
        <v>35.71</v>
      </c>
      <c r="AN177" s="442">
        <v>1448</v>
      </c>
      <c r="AT177" s="437"/>
    </row>
    <row r="178" spans="2:46" s="301" customFormat="1" ht="12.75">
      <c r="B178" s="330" t="s">
        <v>407</v>
      </c>
      <c r="C178" s="338"/>
      <c r="D178" s="361">
        <v>132.63</v>
      </c>
      <c r="E178" s="362">
        <v>90</v>
      </c>
      <c r="F178" s="437"/>
      <c r="G178" s="369"/>
      <c r="H178" s="370"/>
      <c r="I178" s="371"/>
      <c r="J178" s="375"/>
      <c r="L178" s="330" t="s">
        <v>428</v>
      </c>
      <c r="M178" s="338"/>
      <c r="N178" s="425">
        <v>63</v>
      </c>
      <c r="O178" s="366">
        <v>12149.47619047619</v>
      </c>
      <c r="Q178" s="369"/>
      <c r="R178" s="370"/>
      <c r="S178" s="371"/>
      <c r="T178" s="426"/>
      <c r="V178" s="369"/>
      <c r="W178" s="370"/>
      <c r="X178" s="376"/>
      <c r="Y178" s="427"/>
      <c r="AA178" s="330" t="s">
        <v>452</v>
      </c>
      <c r="AB178" s="344"/>
      <c r="AC178" s="357">
        <v>101.75</v>
      </c>
      <c r="AD178" s="356">
        <v>180</v>
      </c>
      <c r="AF178" s="372" t="s">
        <v>297</v>
      </c>
      <c r="AG178" s="373"/>
      <c r="AH178" s="365">
        <v>169.64</v>
      </c>
      <c r="AI178" s="366">
        <v>4433.579251212189</v>
      </c>
      <c r="AK178" s="330" t="s">
        <v>401</v>
      </c>
      <c r="AL178" s="344"/>
      <c r="AM178" s="378">
        <v>30.61</v>
      </c>
      <c r="AN178" s="443">
        <v>64</v>
      </c>
      <c r="AT178" s="437"/>
    </row>
    <row r="179" spans="2:40" s="301" customFormat="1" ht="12.75">
      <c r="B179" s="330" t="s">
        <v>408</v>
      </c>
      <c r="C179" s="329"/>
      <c r="D179" s="380">
        <v>147.5</v>
      </c>
      <c r="E179" s="381">
        <v>0</v>
      </c>
      <c r="L179" s="330" t="s">
        <v>429</v>
      </c>
      <c r="M179" s="338"/>
      <c r="N179" s="425">
        <v>115</v>
      </c>
      <c r="O179" s="366">
        <v>12899.182608695652</v>
      </c>
      <c r="Q179" s="341"/>
      <c r="AA179" s="330" t="s">
        <v>453</v>
      </c>
      <c r="AB179" s="363"/>
      <c r="AC179" s="365">
        <v>101.75</v>
      </c>
      <c r="AD179" s="364">
        <v>0</v>
      </c>
      <c r="AF179" s="382"/>
      <c r="AG179" s="383"/>
      <c r="AH179" s="384"/>
      <c r="AI179" s="385"/>
      <c r="AK179" s="330" t="s">
        <v>400</v>
      </c>
      <c r="AL179" s="363"/>
      <c r="AM179" s="378">
        <v>30.61</v>
      </c>
      <c r="AN179" s="443">
        <v>10</v>
      </c>
    </row>
    <row r="180" spans="2:40" ht="12.75">
      <c r="B180" s="330" t="s">
        <v>409</v>
      </c>
      <c r="C180" s="386"/>
      <c r="D180" s="380">
        <v>147.5</v>
      </c>
      <c r="E180" s="381">
        <v>0</v>
      </c>
      <c r="L180" s="330" t="s">
        <v>430</v>
      </c>
      <c r="M180" s="329"/>
      <c r="N180" s="425">
        <v>135</v>
      </c>
      <c r="O180" s="366">
        <v>16479.17037037037</v>
      </c>
      <c r="Q180" s="341"/>
      <c r="AA180" s="330" t="s">
        <v>454</v>
      </c>
      <c r="AB180" s="429"/>
      <c r="AC180" s="365">
        <v>101.75</v>
      </c>
      <c r="AD180" s="364">
        <v>0</v>
      </c>
      <c r="AK180" s="330" t="s">
        <v>339</v>
      </c>
      <c r="AL180" s="363"/>
      <c r="AM180" s="378">
        <v>30.61</v>
      </c>
      <c r="AN180" s="443">
        <v>2563</v>
      </c>
    </row>
    <row r="181" spans="2:40" ht="12.75">
      <c r="B181" s="330" t="s">
        <v>410</v>
      </c>
      <c r="C181" s="386"/>
      <c r="D181" s="380">
        <v>147.5</v>
      </c>
      <c r="E181" s="381">
        <v>0</v>
      </c>
      <c r="L181" s="395"/>
      <c r="M181" s="396"/>
      <c r="N181" s="391"/>
      <c r="O181" s="391"/>
      <c r="Q181" s="392"/>
      <c r="AA181" s="330" t="s">
        <v>455</v>
      </c>
      <c r="AB181" s="429"/>
      <c r="AC181" s="365">
        <v>177.99</v>
      </c>
      <c r="AD181" s="364">
        <v>0</v>
      </c>
      <c r="AK181" s="330" t="s">
        <v>340</v>
      </c>
      <c r="AL181" s="363"/>
      <c r="AM181" s="378">
        <v>25.5</v>
      </c>
      <c r="AN181" s="443">
        <v>407.5</v>
      </c>
    </row>
    <row r="182" spans="2:40" ht="12.75">
      <c r="B182" s="372" t="s">
        <v>411</v>
      </c>
      <c r="C182" s="390"/>
      <c r="D182" s="380">
        <v>147.5</v>
      </c>
      <c r="E182" s="381">
        <v>0</v>
      </c>
      <c r="AA182" s="330" t="s">
        <v>456</v>
      </c>
      <c r="AB182" s="429"/>
      <c r="AC182" s="365">
        <v>225.89</v>
      </c>
      <c r="AD182" s="364">
        <v>0</v>
      </c>
      <c r="AK182" s="330" t="s">
        <v>260</v>
      </c>
      <c r="AL182" s="363"/>
      <c r="AM182" s="393">
        <v>25.5</v>
      </c>
      <c r="AN182" s="444">
        <v>356</v>
      </c>
    </row>
    <row r="183" spans="2:40" ht="12.75">
      <c r="B183" s="395"/>
      <c r="C183" s="396"/>
      <c r="D183" s="431"/>
      <c r="E183" s="432"/>
      <c r="AA183" s="433"/>
      <c r="AB183" s="434"/>
      <c r="AC183" s="431"/>
      <c r="AD183" s="431"/>
      <c r="AK183" s="330" t="s">
        <v>35</v>
      </c>
      <c r="AL183" s="363"/>
      <c r="AM183" s="435">
        <v>17.65</v>
      </c>
      <c r="AN183" s="445">
        <v>992</v>
      </c>
    </row>
    <row r="184" spans="37:40" ht="12.75">
      <c r="AK184" s="369"/>
      <c r="AL184" s="370"/>
      <c r="AM184" s="400"/>
      <c r="AN184" s="401"/>
    </row>
    <row r="185" spans="2:40" s="301" customFormat="1" ht="12.75">
      <c r="B185" s="402" t="s">
        <v>381</v>
      </c>
      <c r="C185" s="383"/>
      <c r="D185" s="403">
        <f>SUMPRODUCT(D167:D183,E167:E183)</f>
        <v>193196.53360408277</v>
      </c>
      <c r="G185" s="402" t="s">
        <v>381</v>
      </c>
      <c r="H185" s="383"/>
      <c r="I185" s="403">
        <f>SUMPRODUCT(I167:I183,J167:J183)</f>
        <v>2682866.77</v>
      </c>
      <c r="L185" s="402" t="s">
        <v>381</v>
      </c>
      <c r="M185" s="383"/>
      <c r="N185" s="403">
        <f>SUMPRODUCT(N168:N183,O168:O183)</f>
        <v>12972489.6</v>
      </c>
      <c r="Q185" s="402" t="s">
        <v>381</v>
      </c>
      <c r="R185" s="383"/>
      <c r="S185" s="403">
        <f>SUMPRODUCT(S167:S183,T167:T183)</f>
        <v>383347.28</v>
      </c>
      <c r="V185" s="402" t="s">
        <v>381</v>
      </c>
      <c r="W185" s="383"/>
      <c r="X185" s="403">
        <f>SUMPRODUCT(X167:X183,Y167:Y183)</f>
        <v>10801649.196666667</v>
      </c>
      <c r="AA185" s="402" t="s">
        <v>381</v>
      </c>
      <c r="AB185" s="383"/>
      <c r="AC185" s="403">
        <f>SUMPRODUCT(AC167:AC183,AD167:AD183)</f>
        <v>82453.79000000001</v>
      </c>
      <c r="AF185" s="402" t="s">
        <v>381</v>
      </c>
      <c r="AG185" s="383"/>
      <c r="AH185" s="403">
        <f>SUMPRODUCT(AH167:AH183,AI167:AI183)</f>
        <v>8795492.945739124</v>
      </c>
      <c r="AK185" s="402" t="s">
        <v>381</v>
      </c>
      <c r="AL185" s="383"/>
      <c r="AM185" s="403">
        <f>SUMPRODUCT(AM167:AM183,AN167:AN183)</f>
        <v>520051.93</v>
      </c>
      <c r="AN185" s="404"/>
    </row>
    <row r="187" spans="2:37" s="301" customFormat="1" ht="12.75">
      <c r="B187" s="317" t="s">
        <v>139</v>
      </c>
      <c r="C187" s="318"/>
      <c r="D187" s="318"/>
      <c r="E187" s="318"/>
      <c r="F187" s="318"/>
      <c r="G187" s="319" t="s">
        <v>58</v>
      </c>
      <c r="L187" s="319" t="s">
        <v>141</v>
      </c>
      <c r="Q187" s="319" t="s">
        <v>388</v>
      </c>
      <c r="V187" s="317" t="s">
        <v>142</v>
      </c>
      <c r="AA187" s="319" t="s">
        <v>143</v>
      </c>
      <c r="AF187" s="319" t="s">
        <v>140</v>
      </c>
      <c r="AK187" s="103" t="s">
        <v>59</v>
      </c>
    </row>
    <row r="188" spans="2:40" s="301" customFormat="1" ht="12.75">
      <c r="B188" s="320" t="s">
        <v>412</v>
      </c>
      <c r="C188" s="383"/>
      <c r="D188" s="104" t="s">
        <v>346</v>
      </c>
      <c r="E188" s="105" t="s">
        <v>347</v>
      </c>
      <c r="G188" s="320" t="s">
        <v>412</v>
      </c>
      <c r="H188" s="383"/>
      <c r="I188" s="104" t="s">
        <v>346</v>
      </c>
      <c r="J188" s="105" t="s">
        <v>347</v>
      </c>
      <c r="L188" s="320" t="s">
        <v>412</v>
      </c>
      <c r="M188" s="383"/>
      <c r="N188" s="104" t="s">
        <v>346</v>
      </c>
      <c r="O188" s="105" t="s">
        <v>347</v>
      </c>
      <c r="Q188" s="320" t="s">
        <v>412</v>
      </c>
      <c r="R188" s="383"/>
      <c r="S188" s="104" t="s">
        <v>346</v>
      </c>
      <c r="T188" s="105" t="s">
        <v>347</v>
      </c>
      <c r="V188" s="320" t="s">
        <v>412</v>
      </c>
      <c r="W188" s="383"/>
      <c r="X188" s="104" t="s">
        <v>346</v>
      </c>
      <c r="Y188" s="105" t="s">
        <v>347</v>
      </c>
      <c r="AA188" s="320" t="s">
        <v>412</v>
      </c>
      <c r="AB188" s="383"/>
      <c r="AC188" s="104" t="s">
        <v>346</v>
      </c>
      <c r="AD188" s="105" t="s">
        <v>347</v>
      </c>
      <c r="AF188" s="320" t="s">
        <v>412</v>
      </c>
      <c r="AG188" s="383"/>
      <c r="AH188" s="104" t="s">
        <v>346</v>
      </c>
      <c r="AI188" s="105" t="s">
        <v>347</v>
      </c>
      <c r="AK188" s="320" t="s">
        <v>412</v>
      </c>
      <c r="AL188" s="383"/>
      <c r="AM188" s="104" t="s">
        <v>346</v>
      </c>
      <c r="AN188" s="105" t="s">
        <v>347</v>
      </c>
    </row>
    <row r="189" spans="2:40" s="301" customFormat="1" ht="12.75">
      <c r="B189" s="405" t="s">
        <v>348</v>
      </c>
      <c r="C189" s="169"/>
      <c r="D189" s="327">
        <f>D167</f>
        <v>21.89</v>
      </c>
      <c r="E189" s="406">
        <f>E167</f>
        <v>704.6697121973505</v>
      </c>
      <c r="G189" s="405" t="s">
        <v>348</v>
      </c>
      <c r="H189" s="169"/>
      <c r="I189" s="327">
        <f>I167</f>
        <v>14.86</v>
      </c>
      <c r="J189" s="406">
        <f>J167</f>
        <v>680</v>
      </c>
      <c r="L189" s="405" t="s">
        <v>348</v>
      </c>
      <c r="M189" s="169"/>
      <c r="N189" s="327">
        <f>N168</f>
        <v>15</v>
      </c>
      <c r="O189" s="406">
        <f>O168</f>
        <v>44844.573333333334</v>
      </c>
      <c r="Q189" s="405" t="s">
        <v>348</v>
      </c>
      <c r="R189" s="169"/>
      <c r="S189" s="327">
        <f>S167</f>
        <v>23.97</v>
      </c>
      <c r="T189" s="406">
        <f>T167</f>
        <v>0</v>
      </c>
      <c r="V189" s="405" t="s">
        <v>348</v>
      </c>
      <c r="W189" s="169"/>
      <c r="X189" s="327">
        <f>X177</f>
        <v>16.93</v>
      </c>
      <c r="Y189" s="406">
        <f>Y177</f>
        <v>17007</v>
      </c>
      <c r="AA189" s="405" t="s">
        <v>348</v>
      </c>
      <c r="AB189" s="169"/>
      <c r="AC189" s="327">
        <f>AC167</f>
        <v>18.18</v>
      </c>
      <c r="AD189" s="406">
        <f>AD167</f>
        <v>261</v>
      </c>
      <c r="AF189" s="405" t="s">
        <v>348</v>
      </c>
      <c r="AG189" s="169"/>
      <c r="AH189" s="327">
        <f>AH167</f>
        <v>16.21</v>
      </c>
      <c r="AI189" s="406">
        <f>AI167</f>
        <v>9172.688645745211</v>
      </c>
      <c r="AK189" s="405" t="s">
        <v>348</v>
      </c>
      <c r="AL189" s="169"/>
      <c r="AM189" s="327">
        <f>AM183</f>
        <v>17.65</v>
      </c>
      <c r="AN189" s="406">
        <f>AN183</f>
        <v>992</v>
      </c>
    </row>
    <row r="190" spans="2:40" s="301" customFormat="1" ht="12.75">
      <c r="B190" s="405" t="s">
        <v>349</v>
      </c>
      <c r="C190" s="169"/>
      <c r="D190" s="342">
        <f>D168</f>
        <v>17.28</v>
      </c>
      <c r="E190" s="407">
        <f>E168</f>
        <v>256.8350019581515</v>
      </c>
      <c r="G190" s="405" t="s">
        <v>349</v>
      </c>
      <c r="H190" s="169"/>
      <c r="I190" s="342">
        <f>I168</f>
        <v>24.18</v>
      </c>
      <c r="J190" s="407">
        <f>J168</f>
        <v>7147</v>
      </c>
      <c r="L190" s="405" t="s">
        <v>349</v>
      </c>
      <c r="M190" s="169"/>
      <c r="N190" s="342">
        <f>IF(O190&lt;&gt;0,SUMPRODUCT(N169:N170,O169:O170)/SUM(O169:O170),0)</f>
        <v>17</v>
      </c>
      <c r="O190" s="407">
        <f>SUM(O169:O170)</f>
        <v>90185.23529411765</v>
      </c>
      <c r="Q190" s="405" t="s">
        <v>349</v>
      </c>
      <c r="R190" s="169"/>
      <c r="S190" s="342">
        <f>S168</f>
        <v>24.89</v>
      </c>
      <c r="T190" s="407">
        <f>T168</f>
        <v>600</v>
      </c>
      <c r="V190" s="405" t="s">
        <v>349</v>
      </c>
      <c r="W190" s="169"/>
      <c r="X190" s="342">
        <f>X167</f>
        <v>22.37</v>
      </c>
      <c r="Y190" s="407">
        <f>Y167</f>
        <v>34778</v>
      </c>
      <c r="AA190" s="405" t="s">
        <v>349</v>
      </c>
      <c r="AB190" s="169"/>
      <c r="AC190" s="342">
        <f>AC168</f>
        <v>21.31</v>
      </c>
      <c r="AD190" s="407">
        <f>AD168</f>
        <v>583</v>
      </c>
      <c r="AF190" s="405" t="s">
        <v>349</v>
      </c>
      <c r="AG190" s="169"/>
      <c r="AH190" s="342">
        <f>AH168</f>
        <v>22.41</v>
      </c>
      <c r="AI190" s="407">
        <f>AI168</f>
        <v>32266.73986069841</v>
      </c>
      <c r="AK190" s="405" t="s">
        <v>349</v>
      </c>
      <c r="AL190" s="169"/>
      <c r="AM190" s="342">
        <f>AM182</f>
        <v>25.5</v>
      </c>
      <c r="AN190" s="407">
        <f>AN182</f>
        <v>356</v>
      </c>
    </row>
    <row r="191" spans="2:40" s="301" customFormat="1" ht="12.75">
      <c r="B191" s="405" t="s">
        <v>350</v>
      </c>
      <c r="C191" s="169"/>
      <c r="D191" s="352">
        <f>IF(E191&lt;&gt;0,SUMPRODUCT(D169:D172,E169:E172)/SUM(E169:E172),0)</f>
        <v>24.2</v>
      </c>
      <c r="E191" s="408">
        <f>SUM(E169:E172)</f>
        <v>1218.6744561070743</v>
      </c>
      <c r="G191" s="405" t="s">
        <v>350</v>
      </c>
      <c r="H191" s="169"/>
      <c r="I191" s="352">
        <f>IF(J191&lt;&gt;0,SUMPRODUCT(I169:I172,J169:J172)/SUM(J169:J172),0)</f>
        <v>30.917757575757577</v>
      </c>
      <c r="J191" s="408">
        <f>SUM(J169:J172)</f>
        <v>3465</v>
      </c>
      <c r="L191" s="405" t="s">
        <v>350</v>
      </c>
      <c r="M191" s="169"/>
      <c r="N191" s="352">
        <f>IF(O191&lt;&gt;0,SUMPRODUCT(N171:N174,O171:O174)/SUM(O171:O174),0)</f>
        <v>22</v>
      </c>
      <c r="O191" s="408">
        <f>SUM(O171:O174)</f>
        <v>39048.40909090909</v>
      </c>
      <c r="Q191" s="405" t="s">
        <v>350</v>
      </c>
      <c r="R191" s="169"/>
      <c r="S191" s="352">
        <f>IF(T191&lt;&gt;0,SUMPRODUCT(S169:S170,T169:T170)/SUM(T169:T170),0)</f>
        <v>41.45371595698991</v>
      </c>
      <c r="T191" s="408">
        <f>SUM(T169:T170)</f>
        <v>1666.5796637309847</v>
      </c>
      <c r="V191" s="405" t="s">
        <v>350</v>
      </c>
      <c r="W191" s="169"/>
      <c r="X191" s="352">
        <f>IF(Y191&lt;&gt;0,SUMPRODUCT(X168:X169,Y168:Y169)/SUM(Y168:Y169),0)</f>
        <v>29.709231775002667</v>
      </c>
      <c r="Y191" s="408">
        <f>SUM(Y168:Y169)</f>
        <v>37476</v>
      </c>
      <c r="AA191" s="405" t="s">
        <v>350</v>
      </c>
      <c r="AB191" s="169"/>
      <c r="AC191" s="352">
        <f>IF(AD191&lt;&gt;0,SUMPRODUCT(AC169:AC172,AD169:AD172)/SUM(AD169:AD172),0)</f>
        <v>27.327407407407406</v>
      </c>
      <c r="AD191" s="408">
        <f>SUM(AD169:AD172)</f>
        <v>81</v>
      </c>
      <c r="AF191" s="405" t="s">
        <v>350</v>
      </c>
      <c r="AG191" s="169"/>
      <c r="AH191" s="352">
        <f>IF(AI191&lt;&gt;0,SUMPRODUCT(AH169:AH171,AI169:AI171)/SUM(AI169:AI171),0)</f>
        <v>30.88222136909763</v>
      </c>
      <c r="AI191" s="408">
        <f>SUM(AI169:AI171)</f>
        <v>24431.53039255466</v>
      </c>
      <c r="AK191" s="405" t="s">
        <v>350</v>
      </c>
      <c r="AL191" s="169"/>
      <c r="AM191" s="352">
        <f>SUMPRODUCT(AM178:AM181,AN178:AN181)/SUM(AN178:AN181)</f>
        <v>29.92603711611102</v>
      </c>
      <c r="AN191" s="408">
        <f>SUM(AN178:AN181)</f>
        <v>3044.5</v>
      </c>
    </row>
    <row r="192" spans="2:40" s="301" customFormat="1" ht="12.75">
      <c r="B192" s="405" t="s">
        <v>341</v>
      </c>
      <c r="C192" s="169"/>
      <c r="D192" s="361">
        <f>IF(E192&lt;&gt;0,SUMPRODUCT(D173:D178,E173:E178)/SUM(E173:E178),0)</f>
        <v>42.6641826556374</v>
      </c>
      <c r="E192" s="409">
        <f>SUM(E173:E178)</f>
        <v>3371.4763527398404</v>
      </c>
      <c r="G192" s="405" t="s">
        <v>341</v>
      </c>
      <c r="H192" s="169"/>
      <c r="I192" s="361">
        <f>IF(J192&lt;&gt;0,SUMPRODUCT(I173:I174,J173:J174)/SUM(J173:J174),0)</f>
        <v>51.21762511493498</v>
      </c>
      <c r="J192" s="409">
        <f>SUM(J173:J174)</f>
        <v>7613</v>
      </c>
      <c r="L192" s="405" t="s">
        <v>341</v>
      </c>
      <c r="M192" s="169"/>
      <c r="N192" s="361">
        <f>IF(O192&lt;&gt;0,SUMPRODUCT(N175:N177,O175:O177)/SUM(O175:O177),0)</f>
        <v>32.89184396754281</v>
      </c>
      <c r="O192" s="409">
        <f>SUM(O175:O177)</f>
        <v>165211.04761904763</v>
      </c>
      <c r="Q192" s="405" t="s">
        <v>341</v>
      </c>
      <c r="R192" s="169"/>
      <c r="S192" s="361">
        <f>IF(T192&lt;&gt;0,SUMPRODUCT(S171:S173,T171:T173)/SUM(T171:T173),0)</f>
        <v>57.885778379423705</v>
      </c>
      <c r="T192" s="409">
        <f>SUM(T171:T173)</f>
        <v>5171</v>
      </c>
      <c r="V192" s="405" t="s">
        <v>341</v>
      </c>
      <c r="W192" s="169"/>
      <c r="X192" s="361">
        <f>IF(Y192&lt;&gt;0,SUMPRODUCT(X170:X172,Y170:Y172)/SUM(Y170:Y172),0)</f>
        <v>62.65320494575994</v>
      </c>
      <c r="Y192" s="409">
        <f>SUM(Y170:Y172)</f>
        <v>85730</v>
      </c>
      <c r="AA192" s="405" t="s">
        <v>341</v>
      </c>
      <c r="AB192" s="169"/>
      <c r="AC192" s="361">
        <f>IF(AD192&lt;&gt;0,SUMPRODUCT(AC173:AC178,AD173:AD178)/SUM(AD173:AD178),0)</f>
        <v>45.506176046176044</v>
      </c>
      <c r="AD192" s="409">
        <f>SUM(AD173:AD178)</f>
        <v>1386</v>
      </c>
      <c r="AF192" s="405" t="s">
        <v>341</v>
      </c>
      <c r="AG192" s="169"/>
      <c r="AH192" s="361">
        <f>IF(AI192&lt;&gt;0,SUMPRODUCT(AH172:AH174,AI172:AI174)/SUM(AI172:AI174),0)</f>
        <v>53.819266376121895</v>
      </c>
      <c r="AI192" s="409">
        <f>SUM(AI172:AI174)</f>
        <v>82910.0869943933</v>
      </c>
      <c r="AK192" s="405" t="s">
        <v>341</v>
      </c>
      <c r="AL192" s="169"/>
      <c r="AM192" s="361">
        <f>SUMPRODUCT(AM171:AM177,AN171:AN177)/SUM(AN171:AN177)</f>
        <v>77.85390316796173</v>
      </c>
      <c r="AN192" s="409">
        <f>SUM(AN171:AN177)</f>
        <v>3346</v>
      </c>
    </row>
    <row r="193" spans="2:40" s="301" customFormat="1" ht="12.75">
      <c r="B193" s="405" t="s">
        <v>216</v>
      </c>
      <c r="C193" s="169"/>
      <c r="D193" s="380">
        <f>IF(E193&lt;&gt;0,SUMPRODUCT(D179:D182,E179:E182)/SUM(E179:E182),0)</f>
        <v>0</v>
      </c>
      <c r="E193" s="410">
        <f>SUM(E179:E182)</f>
        <v>0</v>
      </c>
      <c r="G193" s="405" t="s">
        <v>216</v>
      </c>
      <c r="H193" s="169"/>
      <c r="I193" s="380">
        <f>IF(J193&lt;&gt;0,SUMPRODUCT(I175:I177,J175:J177)/SUM(J175:J177),0)</f>
        <v>120.2580426298409</v>
      </c>
      <c r="J193" s="410">
        <f>SUM(J175:J177)</f>
        <v>16655</v>
      </c>
      <c r="L193" s="405" t="s">
        <v>216</v>
      </c>
      <c r="M193" s="169"/>
      <c r="N193" s="380">
        <f>IF(O193&lt;&gt;0,SUMPRODUCT(N178:N180,O178:O180)/SUM(O178:O180),0)</f>
        <v>107.72320849559387</v>
      </c>
      <c r="O193" s="410">
        <f>SUM(O178:O180)</f>
        <v>41527.82916954221</v>
      </c>
      <c r="Q193" s="405" t="s">
        <v>216</v>
      </c>
      <c r="R193" s="169"/>
      <c r="S193" s="380">
        <f>IF(T193&lt;&gt;0,SUMPRODUCT(S174:S177,T174:T177)/SUM(T174:T177),0)</f>
        <v>0</v>
      </c>
      <c r="T193" s="410">
        <f>SUM(T174:T177)</f>
        <v>0</v>
      </c>
      <c r="V193" s="405" t="s">
        <v>216</v>
      </c>
      <c r="W193" s="169"/>
      <c r="X193" s="380">
        <f>IF(Y193&lt;&gt;0,SUMPRODUCT(X173:X176,Y173:Y176)/SUM(Y173:Y176),0)</f>
        <v>135.0477449772227</v>
      </c>
      <c r="Y193" s="410">
        <f>SUM(Y173:Y176)</f>
        <v>24073.666666666668</v>
      </c>
      <c r="AA193" s="405" t="s">
        <v>216</v>
      </c>
      <c r="AB193" s="169"/>
      <c r="AC193" s="380">
        <f>IF(AD193&lt;&gt;0,SUMPRODUCT(AC179:AC182,AD179:AD182)/SUM(AD179:AD182),0)</f>
        <v>0</v>
      </c>
      <c r="AD193" s="410">
        <f>SUM(AD179:AD182)</f>
        <v>0</v>
      </c>
      <c r="AF193" s="405" t="s">
        <v>216</v>
      </c>
      <c r="AG193" s="169"/>
      <c r="AH193" s="380">
        <f>IF(AI193&lt;&gt;0,SUMPRODUCT(AH175:AH178,AI175:AI178)/SUM(AI175:AI178),0)</f>
        <v>147.4652441371911</v>
      </c>
      <c r="AI193" s="410">
        <f>SUM(AI175:AI178)</f>
        <v>18357.18003360507</v>
      </c>
      <c r="AK193" s="405" t="s">
        <v>216</v>
      </c>
      <c r="AL193" s="169"/>
      <c r="AM193" s="380">
        <f>SUMPRODUCT(AM167:AM170,AN167:AN170)/SUM(AN167:AN170)</f>
        <v>149.59351377866497</v>
      </c>
      <c r="AN193" s="410">
        <f>SUM(AN167:AN170)</f>
        <v>948.277411344766</v>
      </c>
    </row>
    <row r="194" spans="2:40" s="318" customFormat="1" ht="12.75">
      <c r="B194" s="411" t="s">
        <v>381</v>
      </c>
      <c r="C194" s="412"/>
      <c r="D194" s="413">
        <f>SUMPRODUCT(D189:D193,E189:E193)</f>
        <v>193196.53360408277</v>
      </c>
      <c r="E194" s="414"/>
      <c r="G194" s="411" t="s">
        <v>381</v>
      </c>
      <c r="H194" s="412"/>
      <c r="I194" s="413">
        <f>SUMPRODUCT(I189:I193,J189:J193)</f>
        <v>2682866.7700000005</v>
      </c>
      <c r="J194" s="414"/>
      <c r="L194" s="411" t="s">
        <v>381</v>
      </c>
      <c r="M194" s="412"/>
      <c r="N194" s="413">
        <f>SUMPRODUCT(N189:N193,O189:O193)</f>
        <v>12972489.6</v>
      </c>
      <c r="O194" s="414"/>
      <c r="Q194" s="411" t="s">
        <v>381</v>
      </c>
      <c r="R194" s="412"/>
      <c r="S194" s="413">
        <f>SUMPRODUCT(S189:S193,T189:T193)</f>
        <v>383347.27999999997</v>
      </c>
      <c r="T194" s="414"/>
      <c r="V194" s="411" t="s">
        <v>381</v>
      </c>
      <c r="W194" s="412"/>
      <c r="X194" s="413">
        <f>SUMPRODUCT(X189:X193,Y189:Y193)</f>
        <v>10801649.196666667</v>
      </c>
      <c r="Y194" s="414"/>
      <c r="AA194" s="411" t="s">
        <v>381</v>
      </c>
      <c r="AB194" s="412"/>
      <c r="AC194" s="413">
        <f>SUMPRODUCT(AC189:AC193,AD189:AD193)</f>
        <v>82453.79</v>
      </c>
      <c r="AD194" s="414"/>
      <c r="AF194" s="411" t="s">
        <v>381</v>
      </c>
      <c r="AG194" s="412"/>
      <c r="AH194" s="413">
        <f>SUMPRODUCT(AH189:AH193,AI189:AI193)</f>
        <v>8795492.945739126</v>
      </c>
      <c r="AI194" s="414"/>
      <c r="AK194" s="411" t="s">
        <v>381</v>
      </c>
      <c r="AL194" s="412"/>
      <c r="AM194" s="413">
        <f>SUMPRODUCT(AM189:AM193,AN189:AN193)</f>
        <v>520051.92999999993</v>
      </c>
      <c r="AN194" s="414"/>
    </row>
    <row r="195" spans="2:29" ht="12.75">
      <c r="B195" s="301"/>
      <c r="C195" s="301"/>
      <c r="D195" s="301"/>
      <c r="E195" s="301"/>
      <c r="L195" s="301"/>
      <c r="M195" s="301"/>
      <c r="N195" s="301"/>
      <c r="O195" s="301"/>
      <c r="P195" s="301"/>
      <c r="AA195" s="301"/>
      <c r="AB195" s="301"/>
      <c r="AC195" s="301"/>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Blad13"/>
  <dimension ref="A2:BD281"/>
  <sheetViews>
    <sheetView showGridLines="0" zoomScale="85" zoomScaleNormal="85" workbookViewId="0" topLeftCell="A1">
      <selection activeCell="A1" sqref="A1"/>
    </sheetView>
  </sheetViews>
  <sheetFormatPr defaultColWidth="9.140625" defaultRowHeight="12.75"/>
  <cols>
    <col min="1" max="1" width="8.28125" style="106" customWidth="1"/>
    <col min="2" max="2" width="24.00390625" style="106" customWidth="1"/>
    <col min="3" max="3" width="9.140625" style="106" customWidth="1"/>
    <col min="4" max="7" width="9.8515625" style="106" customWidth="1"/>
    <col min="8" max="9" width="9.140625" style="106" customWidth="1"/>
    <col min="10" max="10" width="9.8515625" style="106" bestFit="1" customWidth="1"/>
    <col min="11" max="11" width="10.8515625" style="106" customWidth="1"/>
    <col min="12" max="12" width="9.140625" style="106" customWidth="1"/>
    <col min="13" max="13" width="8.7109375" style="106" customWidth="1"/>
    <col min="14" max="14" width="10.7109375" style="106" customWidth="1"/>
    <col min="15" max="18" width="9.140625" style="106" customWidth="1"/>
    <col min="19" max="19" width="10.8515625" style="106" customWidth="1"/>
    <col min="20" max="20" width="9.28125" style="106" customWidth="1"/>
    <col min="21" max="23" width="9.140625" style="106" customWidth="1"/>
    <col min="24" max="25" width="9.28125" style="106" customWidth="1"/>
    <col min="26" max="28" width="9.140625" style="106" customWidth="1"/>
    <col min="29" max="29" width="10.28125" style="106" customWidth="1"/>
    <col min="30" max="30" width="9.57421875" style="106" bestFit="1" customWidth="1"/>
    <col min="31" max="34" width="9.140625" style="106" customWidth="1"/>
    <col min="35" max="35" width="9.8515625" style="106" bestFit="1" customWidth="1"/>
    <col min="36" max="45" width="9.140625" style="106" customWidth="1"/>
    <col min="46" max="46" width="9.421875" style="106" customWidth="1"/>
    <col min="47" max="47" width="9.421875" style="106" bestFit="1" customWidth="1"/>
    <col min="48" max="48" width="9.140625" style="106" customWidth="1"/>
    <col min="49" max="49" width="9.28125" style="106" bestFit="1" customWidth="1"/>
    <col min="50" max="16384" width="9.140625" style="106" customWidth="1"/>
  </cols>
  <sheetData>
    <row r="1" ht="12.75"/>
    <row r="2" spans="1:2" s="300" customFormat="1" ht="69" customHeight="1">
      <c r="A2" s="299"/>
      <c r="B2" s="3" t="s">
        <v>512</v>
      </c>
    </row>
    <row r="3" ht="12.75">
      <c r="A3" s="103"/>
    </row>
    <row r="4" spans="1:2" s="5" customFormat="1" ht="12.75">
      <c r="A4" s="610"/>
      <c r="B4" s="610" t="s">
        <v>513</v>
      </c>
    </row>
    <row r="5" ht="12.75">
      <c r="A5" s="103"/>
    </row>
    <row r="6" spans="1:40" ht="12.75">
      <c r="A6" s="103"/>
      <c r="B6" s="611" t="s">
        <v>139</v>
      </c>
      <c r="C6" s="625"/>
      <c r="D6" s="625"/>
      <c r="E6" s="626"/>
      <c r="G6" s="611" t="s">
        <v>58</v>
      </c>
      <c r="H6" s="625"/>
      <c r="I6" s="625"/>
      <c r="J6" s="626"/>
      <c r="L6" s="611" t="s">
        <v>141</v>
      </c>
      <c r="M6" s="625"/>
      <c r="N6" s="625"/>
      <c r="O6" s="626"/>
      <c r="Q6" s="611" t="s">
        <v>388</v>
      </c>
      <c r="R6" s="625"/>
      <c r="S6" s="625"/>
      <c r="T6" s="626"/>
      <c r="V6" s="611" t="s">
        <v>142</v>
      </c>
      <c r="W6" s="625"/>
      <c r="X6" s="625"/>
      <c r="Y6" s="626"/>
      <c r="AA6" s="611" t="s">
        <v>143</v>
      </c>
      <c r="AB6" s="625"/>
      <c r="AC6" s="625"/>
      <c r="AD6" s="626"/>
      <c r="AF6" s="611" t="s">
        <v>140</v>
      </c>
      <c r="AG6" s="625"/>
      <c r="AH6" s="625"/>
      <c r="AI6" s="626"/>
      <c r="AK6" s="611" t="s">
        <v>59</v>
      </c>
      <c r="AL6" s="625"/>
      <c r="AM6" s="625"/>
      <c r="AN6" s="626"/>
    </row>
    <row r="7" spans="1:40" ht="12.75">
      <c r="A7" s="103"/>
      <c r="B7" s="614"/>
      <c r="C7" s="386"/>
      <c r="D7" s="386"/>
      <c r="E7" s="388"/>
      <c r="G7" s="614"/>
      <c r="H7" s="386"/>
      <c r="I7" s="386"/>
      <c r="J7" s="388"/>
      <c r="L7" s="614"/>
      <c r="M7" s="386"/>
      <c r="N7" s="386"/>
      <c r="O7" s="388"/>
      <c r="Q7" s="614"/>
      <c r="R7" s="386"/>
      <c r="S7" s="386"/>
      <c r="T7" s="388"/>
      <c r="V7" s="614"/>
      <c r="W7" s="386"/>
      <c r="X7" s="386"/>
      <c r="Y7" s="388"/>
      <c r="AA7" s="614"/>
      <c r="AB7" s="386"/>
      <c r="AC7" s="386"/>
      <c r="AD7" s="388"/>
      <c r="AF7" s="614"/>
      <c r="AG7" s="386"/>
      <c r="AH7" s="386"/>
      <c r="AI7" s="388"/>
      <c r="AK7" s="614"/>
      <c r="AL7" s="386"/>
      <c r="AM7" s="386"/>
      <c r="AN7" s="388"/>
    </row>
    <row r="8" spans="1:40" ht="12.75">
      <c r="A8" s="103"/>
      <c r="B8" s="627" t="s">
        <v>227</v>
      </c>
      <c r="C8" s="386"/>
      <c r="D8" s="386"/>
      <c r="E8" s="388"/>
      <c r="G8" s="627" t="s">
        <v>227</v>
      </c>
      <c r="H8" s="386"/>
      <c r="I8" s="386"/>
      <c r="J8" s="388"/>
      <c r="L8" s="627" t="s">
        <v>227</v>
      </c>
      <c r="M8" s="386"/>
      <c r="N8" s="386"/>
      <c r="O8" s="388"/>
      <c r="Q8" s="627" t="s">
        <v>227</v>
      </c>
      <c r="R8" s="386"/>
      <c r="S8" s="386"/>
      <c r="T8" s="388"/>
      <c r="V8" s="627" t="s">
        <v>227</v>
      </c>
      <c r="W8" s="386"/>
      <c r="X8" s="386"/>
      <c r="Y8" s="388"/>
      <c r="AA8" s="627" t="s">
        <v>227</v>
      </c>
      <c r="AB8" s="386"/>
      <c r="AC8" s="386"/>
      <c r="AD8" s="388"/>
      <c r="AF8" s="627" t="s">
        <v>227</v>
      </c>
      <c r="AG8" s="386"/>
      <c r="AH8" s="386"/>
      <c r="AI8" s="388"/>
      <c r="AK8" s="627" t="s">
        <v>227</v>
      </c>
      <c r="AL8" s="386"/>
      <c r="AM8" s="386"/>
      <c r="AN8" s="388"/>
    </row>
    <row r="9" spans="1:40" ht="12.75">
      <c r="A9" s="103"/>
      <c r="B9" s="614"/>
      <c r="C9" s="386"/>
      <c r="D9" s="386"/>
      <c r="E9" s="388"/>
      <c r="G9" s="614"/>
      <c r="H9" s="386"/>
      <c r="I9" s="386"/>
      <c r="J9" s="388"/>
      <c r="L9" s="614"/>
      <c r="M9" s="386"/>
      <c r="N9" s="386"/>
      <c r="O9" s="388"/>
      <c r="Q9" s="614"/>
      <c r="R9" s="386"/>
      <c r="S9" s="386"/>
      <c r="T9" s="388"/>
      <c r="V9" s="614"/>
      <c r="W9" s="386"/>
      <c r="X9" s="386"/>
      <c r="Y9" s="388"/>
      <c r="AA9" s="614"/>
      <c r="AB9" s="386"/>
      <c r="AC9" s="386"/>
      <c r="AD9" s="388"/>
      <c r="AF9" s="614"/>
      <c r="AG9" s="386"/>
      <c r="AH9" s="386"/>
      <c r="AI9" s="388"/>
      <c r="AK9" s="614"/>
      <c r="AL9" s="386"/>
      <c r="AM9" s="386"/>
      <c r="AN9" s="388"/>
    </row>
    <row r="10" spans="1:40" ht="12.75">
      <c r="A10" s="103"/>
      <c r="B10" s="614" t="str">
        <f aca="true" t="shared" si="0" ref="B10:B21">B50</f>
        <v>Afnemers EHS/HS (&gt;=110 kV)</v>
      </c>
      <c r="C10" s="386"/>
      <c r="D10" s="386"/>
      <c r="E10" s="631"/>
      <c r="G10" s="614" t="str">
        <f>G51</f>
        <v>Afnemers TS (25-50 kV)</v>
      </c>
      <c r="H10" s="386"/>
      <c r="I10" s="386"/>
      <c r="J10" s="631"/>
      <c r="L10" s="614" t="str">
        <f>L51</f>
        <v>Afnemers TS (25-50)   (30 MVA maatwerk aansluiting)</v>
      </c>
      <c r="M10" s="386"/>
      <c r="N10" s="386"/>
      <c r="O10" s="631"/>
      <c r="Q10" s="614" t="str">
        <f aca="true" t="shared" si="1" ref="Q10:Q21">Q50</f>
        <v>Afnemers EHS/HS (&gt;=110 kV)</v>
      </c>
      <c r="R10" s="386"/>
      <c r="S10" s="386"/>
      <c r="T10" s="631"/>
      <c r="V10" s="614" t="str">
        <f aca="true" t="shared" si="2" ref="V10:V20">V50</f>
        <v>t/m 3*25A</v>
      </c>
      <c r="W10" s="386"/>
      <c r="X10" s="386"/>
      <c r="Y10" s="628">
        <f aca="true" t="shared" si="3" ref="Y10:Y20">Y50</f>
        <v>2711550.16533849</v>
      </c>
      <c r="AA10" s="614" t="str">
        <f aca="true" t="shared" si="4" ref="AA10:AA21">AA50</f>
        <v>Afnemers EHS/HS (&gt;=110 kV)</v>
      </c>
      <c r="AB10" s="386"/>
      <c r="AC10" s="386"/>
      <c r="AD10" s="631"/>
      <c r="AF10" s="614" t="str">
        <f aca="true" t="shared" si="5" ref="AF10:AF16">AF50</f>
        <v>t/m 1*6 A</v>
      </c>
      <c r="AG10" s="386"/>
      <c r="AH10" s="386"/>
      <c r="AI10" s="628">
        <f aca="true" t="shared" si="6" ref="AI10:AI16">AI50</f>
        <v>562227.8859649124</v>
      </c>
      <c r="AK10" s="614" t="str">
        <f aca="true" t="shared" si="7" ref="AK10:AK26">AK50</f>
        <v>&gt;2,4 MVA en t/m 10 MVA     </v>
      </c>
      <c r="AL10" s="386"/>
      <c r="AM10" s="386"/>
      <c r="AN10" s="628">
        <f aca="true" t="shared" si="8" ref="AN10:AN26">AN50</f>
        <v>28.81530098849528</v>
      </c>
    </row>
    <row r="11" spans="1:40" ht="12.75">
      <c r="A11" s="103"/>
      <c r="B11" s="614" t="str">
        <f t="shared" si="0"/>
        <v>Afnemers TS (25-50 kV)</v>
      </c>
      <c r="C11" s="386"/>
      <c r="D11" s="386"/>
      <c r="E11" s="631"/>
      <c r="G11" s="614" t="str">
        <f aca="true" t="shared" si="9" ref="G11:G20">G52</f>
        <v>Afnemers Trafo HS + TS/MS (&gt;2 MW t/m 10 MVA)</v>
      </c>
      <c r="H11" s="386"/>
      <c r="I11" s="386"/>
      <c r="J11" s="628">
        <f aca="true" t="shared" si="10" ref="J11:J20">J52</f>
        <v>10</v>
      </c>
      <c r="L11" s="614" t="str">
        <f aca="true" t="shared" si="11" ref="L11:L20">L52</f>
        <v>Aansl. cap. &gt; 6 MVA t/m 10 MVA  - ( indien aansl &gt; 10 MVA: maatwerk p.a.v.))</v>
      </c>
      <c r="M11" s="386"/>
      <c r="N11" s="386"/>
      <c r="O11" s="628">
        <f aca="true" t="shared" si="12" ref="O11:O20">O52</f>
        <v>186.28092432175154</v>
      </c>
      <c r="Q11" s="614" t="str">
        <f t="shared" si="1"/>
        <v>Afnemers TS (25-50 kV)</v>
      </c>
      <c r="R11" s="386"/>
      <c r="S11" s="386"/>
      <c r="T11" s="631"/>
      <c r="V11" s="614" t="str">
        <f t="shared" si="2"/>
        <v>&gt;3*25A en t/m 3*50A</v>
      </c>
      <c r="W11" s="386"/>
      <c r="X11" s="386"/>
      <c r="Y11" s="628">
        <f t="shared" si="3"/>
        <v>73890.3861263407</v>
      </c>
      <c r="AA11" s="614" t="str">
        <f t="shared" si="4"/>
        <v>Afnemers TS (25-50 kV)</v>
      </c>
      <c r="AB11" s="386"/>
      <c r="AC11" s="386"/>
      <c r="AD11" s="631"/>
      <c r="AF11" s="614" t="str">
        <f t="shared" si="5"/>
        <v>&gt; 1*6A t/m 3*25A</v>
      </c>
      <c r="AG11" s="386"/>
      <c r="AH11" s="386"/>
      <c r="AI11" s="628">
        <f t="shared" si="6"/>
        <v>1838374.64358108</v>
      </c>
      <c r="AK11" s="614" t="str">
        <f t="shared" si="7"/>
        <v>&gt;=1,0 MW en t/m 2,4 MVA   </v>
      </c>
      <c r="AL11" s="386"/>
      <c r="AM11" s="386"/>
      <c r="AN11" s="628">
        <f t="shared" si="8"/>
        <v>235.9948494171534</v>
      </c>
    </row>
    <row r="12" spans="1:40" ht="12.75">
      <c r="A12" s="103"/>
      <c r="B12" s="614" t="str">
        <f t="shared" si="0"/>
        <v>Afnemers Trafo HS + TS/MS</v>
      </c>
      <c r="C12" s="386"/>
      <c r="D12" s="386"/>
      <c r="E12" s="631"/>
      <c r="G12" s="614" t="str">
        <f t="shared" si="9"/>
        <v>Afnemers MS (1-20 kV) - Transport</v>
      </c>
      <c r="H12" s="386"/>
      <c r="I12" s="386"/>
      <c r="J12" s="631"/>
      <c r="L12" s="614" t="str">
        <f t="shared" si="11"/>
        <v>Aansl. cap. &gt;1750 kVA t/m 6 MVA</v>
      </c>
      <c r="M12" s="386"/>
      <c r="N12" s="386"/>
      <c r="O12" s="628">
        <f t="shared" si="12"/>
        <v>646.2193114119923</v>
      </c>
      <c r="Q12" s="614" t="str">
        <f t="shared" si="1"/>
        <v>Afnemers Trafo HS + TS/MS</v>
      </c>
      <c r="R12" s="386"/>
      <c r="S12" s="386"/>
      <c r="T12" s="628">
        <f>T52</f>
        <v>0.9977530269984856</v>
      </c>
      <c r="V12" s="614" t="str">
        <f t="shared" si="2"/>
        <v>&gt;3*50A en t/m 3*80A</v>
      </c>
      <c r="W12" s="386"/>
      <c r="X12" s="386"/>
      <c r="Y12" s="628">
        <f t="shared" si="3"/>
        <v>38003.2476445204</v>
      </c>
      <c r="AA12" s="614" t="str">
        <f t="shared" si="4"/>
        <v>Afnemers Trafo HS + TS/MS</v>
      </c>
      <c r="AB12" s="386"/>
      <c r="AC12" s="386"/>
      <c r="AD12" s="631"/>
      <c r="AF12" s="614" t="str">
        <f t="shared" si="5"/>
        <v>&gt; 3*25A t/m 3*80A</v>
      </c>
      <c r="AG12" s="386"/>
      <c r="AH12" s="386"/>
      <c r="AI12" s="628">
        <f t="shared" si="6"/>
        <v>79147.4470198675</v>
      </c>
      <c r="AK12" s="614" t="str">
        <f t="shared" si="7"/>
        <v>&gt;3*1500A en t/m 3*1600 A af sec zijde LS</v>
      </c>
      <c r="AL12" s="386"/>
      <c r="AM12" s="386"/>
      <c r="AN12" s="628">
        <f t="shared" si="8"/>
        <v>5.936600028941011</v>
      </c>
    </row>
    <row r="13" spans="1:40" ht="12.75">
      <c r="A13" s="103"/>
      <c r="B13" s="614" t="str">
        <f t="shared" si="0"/>
        <v>Afnemers MS (1-20 kV) - Transport</v>
      </c>
      <c r="C13" s="386"/>
      <c r="D13" s="386"/>
      <c r="E13" s="631"/>
      <c r="G13" s="614" t="str">
        <f t="shared" si="9"/>
        <v>Afnemers MS (1-20 kV) - Distributie (&gt;0,2 MW t/m 2 MW)</v>
      </c>
      <c r="H13" s="386"/>
      <c r="I13" s="386"/>
      <c r="J13" s="628">
        <f t="shared" si="10"/>
        <v>400.75000000000006</v>
      </c>
      <c r="L13" s="614" t="str">
        <f t="shared" si="11"/>
        <v>Aansl. cap. &gt;173 kVA t/m 1750 kVA</v>
      </c>
      <c r="M13" s="386"/>
      <c r="N13" s="386"/>
      <c r="O13" s="628">
        <f t="shared" si="12"/>
        <v>14023.152449822903</v>
      </c>
      <c r="Q13" s="614" t="str">
        <f t="shared" si="1"/>
        <v>Afnemers MS (&gt; 3 MW )</v>
      </c>
      <c r="R13" s="386"/>
      <c r="S13" s="386"/>
      <c r="T13" s="628">
        <f>T53</f>
        <v>3.9909491567771394</v>
      </c>
      <c r="V13" s="614" t="str">
        <f t="shared" si="2"/>
        <v>&gt;3*80A en t/m 100 kVA af sec zijde trafo</v>
      </c>
      <c r="W13" s="386"/>
      <c r="X13" s="386"/>
      <c r="Y13" s="628">
        <f t="shared" si="3"/>
        <v>7832.886361111109</v>
      </c>
      <c r="AA13" s="614" t="str">
        <f t="shared" si="4"/>
        <v>Afnemers MS (1-20 kV) - Transport (&gt; 2.0 MVA tot 10 MVA)</v>
      </c>
      <c r="AB13" s="386"/>
      <c r="AC13" s="386"/>
      <c r="AD13" s="628">
        <f aca="true" t="shared" si="13" ref="AD13:AD21">AD53</f>
        <v>1</v>
      </c>
      <c r="AF13" s="614" t="str">
        <f t="shared" si="5"/>
        <v>&gt; 3*80A t/m 175 kVA</v>
      </c>
      <c r="AG13" s="386"/>
      <c r="AH13" s="386"/>
      <c r="AI13" s="628">
        <f t="shared" si="6"/>
        <v>14040.836240310078</v>
      </c>
      <c r="AK13" s="614" t="str">
        <f t="shared" si="7"/>
        <v>&gt;3*1200A en t/m 3*1500 A af sec zijde LS</v>
      </c>
      <c r="AL13" s="386"/>
      <c r="AM13" s="386"/>
      <c r="AN13" s="628">
        <f t="shared" si="8"/>
        <v>112.98220040750883</v>
      </c>
    </row>
    <row r="14" spans="1:40" ht="12.75">
      <c r="A14" s="103"/>
      <c r="B14" s="614" t="str">
        <f t="shared" si="0"/>
        <v>Afnemers MS (1-20 kV) - Distributie (&gt; 1,2 MVA t/m 3,0  MVA)</v>
      </c>
      <c r="C14" s="386"/>
      <c r="D14" s="386"/>
      <c r="E14" s="628">
        <f aca="true" t="shared" si="14" ref="E14:E21">E54</f>
        <v>30</v>
      </c>
      <c r="G14" s="614" t="str">
        <f t="shared" si="9"/>
        <v>Afnemers Trafo MS/LS (&gt;50 kW t/m 0,2 MW)</v>
      </c>
      <c r="H14" s="386"/>
      <c r="I14" s="386"/>
      <c r="J14" s="628">
        <f t="shared" si="10"/>
        <v>1444.9166666666665</v>
      </c>
      <c r="L14" s="614" t="str">
        <f t="shared" si="11"/>
        <v>Aansl. cap. &gt; 3x80A t/m 3x250A (173 kVA)</v>
      </c>
      <c r="M14" s="386"/>
      <c r="N14" s="386"/>
      <c r="O14" s="628">
        <f t="shared" si="12"/>
        <v>12070.145313782992</v>
      </c>
      <c r="Q14" s="614" t="str">
        <f t="shared" si="1"/>
        <v>Afnemers MS (&gt; 3x250A t/m 3 MW) </v>
      </c>
      <c r="R14" s="386"/>
      <c r="S14" s="386"/>
      <c r="T14" s="628">
        <f>T54</f>
        <v>583.941782793161</v>
      </c>
      <c r="V14" s="614" t="str">
        <f t="shared" si="2"/>
        <v>&gt;100 kVA en t/m 160 kVA af sec zijde trafo</v>
      </c>
      <c r="W14" s="386"/>
      <c r="X14" s="386"/>
      <c r="Y14" s="628">
        <f t="shared" si="3"/>
        <v>5451.4743055555555</v>
      </c>
      <c r="AA14" s="614" t="str">
        <f t="shared" si="4"/>
        <v>Afnemers MS (1-20 kV) - Distributie (&gt; 1,2 MVA t/m 2,0 MVA)</v>
      </c>
      <c r="AB14" s="386"/>
      <c r="AC14" s="386"/>
      <c r="AD14" s="628">
        <f t="shared" si="13"/>
        <v>17.73</v>
      </c>
      <c r="AF14" s="614" t="str">
        <f t="shared" si="5"/>
        <v>&gt; 175kVA t/m 1750kVA</v>
      </c>
      <c r="AG14" s="386"/>
      <c r="AH14" s="386"/>
      <c r="AI14" s="628">
        <f t="shared" si="6"/>
        <v>4662.826823590274</v>
      </c>
      <c r="AK14" s="614" t="str">
        <f t="shared" si="7"/>
        <v>&gt;3*750A en t/m 3*1200 A af sec zijde LS</v>
      </c>
      <c r="AL14" s="386"/>
      <c r="AM14" s="386"/>
      <c r="AN14" s="628">
        <f t="shared" si="8"/>
        <v>148.87421450546802</v>
      </c>
    </row>
    <row r="15" spans="1:40" ht="12.75">
      <c r="A15" s="103"/>
      <c r="B15" s="614" t="str">
        <f t="shared" si="0"/>
        <v>Afnemers Trafo MS/LS (&gt;0,15 MVA t/m 1,2 MVA)</v>
      </c>
      <c r="C15" s="386"/>
      <c r="D15" s="386"/>
      <c r="E15" s="628">
        <f t="shared" si="14"/>
        <v>209</v>
      </c>
      <c r="G15" s="614" t="str">
        <f t="shared" si="9"/>
        <v>Afnemers LS (&gt; 3*80A t/m 50 kW)</v>
      </c>
      <c r="H15" s="386"/>
      <c r="I15" s="386"/>
      <c r="J15" s="628">
        <f t="shared" si="10"/>
        <v>352.4166666666667</v>
      </c>
      <c r="L15" s="614" t="str">
        <f t="shared" si="11"/>
        <v>Aansl. cap. &gt; 3x80A t/m 3x250A (173 kVA) fysiek aangesloten op LS</v>
      </c>
      <c r="M15" s="386"/>
      <c r="N15" s="386"/>
      <c r="O15" s="628">
        <f t="shared" si="12"/>
        <v>0</v>
      </c>
      <c r="Q15" s="614" t="str">
        <f t="shared" si="1"/>
        <v>Afnemers Trafo MS/LS (&gt; 3x63A t/m 3x250A) aansluiting MS/LS</v>
      </c>
      <c r="R15" s="386"/>
      <c r="S15" s="386"/>
      <c r="T15" s="628">
        <f>T55</f>
        <v>657.6231129856694</v>
      </c>
      <c r="V15" s="614" t="str">
        <f t="shared" si="2"/>
        <v>&gt;160 kVA en t/m 630 kVA met LS meting</v>
      </c>
      <c r="W15" s="386"/>
      <c r="X15" s="386"/>
      <c r="Y15" s="628">
        <f t="shared" si="3"/>
        <v>10245.43610191994</v>
      </c>
      <c r="AA15" s="614" t="str">
        <f t="shared" si="4"/>
        <v>Afnemers Trafo MS/LS (0,15MVA t/m 1,2MVA)</v>
      </c>
      <c r="AB15" s="386"/>
      <c r="AC15" s="386"/>
      <c r="AD15" s="628">
        <f t="shared" si="13"/>
        <v>134.06</v>
      </c>
      <c r="AF15" s="614" t="str">
        <f t="shared" si="5"/>
        <v>&gt; 1.750kVA t/m 3.000kVA</v>
      </c>
      <c r="AG15" s="386"/>
      <c r="AH15" s="386"/>
      <c r="AI15" s="628">
        <f t="shared" si="6"/>
        <v>36.31323343054543</v>
      </c>
      <c r="AK15" s="614" t="str">
        <f t="shared" si="7"/>
        <v>&gt;3*500A en t/m 3*750 A af sec zijde LS</v>
      </c>
      <c r="AL15" s="386"/>
      <c r="AM15" s="386"/>
      <c r="AN15" s="628">
        <f t="shared" si="8"/>
        <v>86.12359740245829</v>
      </c>
    </row>
    <row r="16" spans="1:40" ht="12.75">
      <c r="A16" s="103"/>
      <c r="B16" s="614" t="str">
        <f t="shared" si="0"/>
        <v>Afnemers LS (&gt;3*80A  t/m  3*225A)</v>
      </c>
      <c r="C16" s="386"/>
      <c r="D16" s="386"/>
      <c r="E16" s="628">
        <f t="shared" si="14"/>
        <v>305</v>
      </c>
      <c r="G16" s="614" t="str">
        <f t="shared" si="9"/>
        <v>Afnemers &gt; 3 x 25A DT (&gt;3*25A t/m 3*80A)</v>
      </c>
      <c r="H16" s="386"/>
      <c r="I16" s="386"/>
      <c r="J16" s="628">
        <f t="shared" si="10"/>
        <v>0</v>
      </c>
      <c r="L16" s="614" t="str">
        <f t="shared" si="11"/>
        <v>Afnemers &gt; 3 x 25A DT (doorlaatwaarde &gt;3x25A t/m 3x80A aangesloten op ls net)</v>
      </c>
      <c r="M16" s="386"/>
      <c r="N16" s="386"/>
      <c r="O16" s="628">
        <f t="shared" si="12"/>
        <v>121967.800299048</v>
      </c>
      <c r="Q16" s="614" t="str">
        <f t="shared" si="1"/>
        <v>Afnemers LS</v>
      </c>
      <c r="R16" s="386"/>
      <c r="S16" s="386"/>
      <c r="T16" s="631"/>
      <c r="V16" s="614" t="str">
        <f t="shared" si="2"/>
        <v>&gt;630 kVA en t/m 1000 kVA met LS meting</v>
      </c>
      <c r="W16" s="386"/>
      <c r="X16" s="386"/>
      <c r="Y16" s="628">
        <f t="shared" si="3"/>
        <v>211.97719791666663</v>
      </c>
      <c r="AA16" s="614" t="str">
        <f t="shared" si="4"/>
        <v>Afnemers LS (&gt;3x80A t/m 3x225A)</v>
      </c>
      <c r="AB16" s="386"/>
      <c r="AC16" s="386"/>
      <c r="AD16" s="628">
        <f t="shared" si="13"/>
        <v>122.1</v>
      </c>
      <c r="AF16" s="614" t="str">
        <f t="shared" si="5"/>
        <v>&gt; 3.000kVA t/m 10.000kVA</v>
      </c>
      <c r="AG16" s="386"/>
      <c r="AH16" s="386"/>
      <c r="AI16" s="628">
        <f t="shared" si="6"/>
        <v>155.4660306245226</v>
      </c>
      <c r="AK16" s="614" t="str">
        <f t="shared" si="7"/>
        <v>&gt;3*480A en t/m 3*500 A af sec zijde LS</v>
      </c>
      <c r="AL16" s="386"/>
      <c r="AM16" s="386"/>
      <c r="AN16" s="628">
        <f t="shared" si="8"/>
        <v>5.339471834805381</v>
      </c>
    </row>
    <row r="17" spans="1:40" ht="12.75">
      <c r="A17" s="103"/>
      <c r="B17" s="614" t="str">
        <f t="shared" si="0"/>
        <v>Afnemers &gt; 3*25A  t/m  3*80A  DT</v>
      </c>
      <c r="C17" s="386"/>
      <c r="D17" s="386"/>
      <c r="E17" s="628">
        <f t="shared" si="14"/>
        <v>1179</v>
      </c>
      <c r="G17" s="614" t="str">
        <f t="shared" si="9"/>
        <v>Afnemers &gt; 3 x 25A ET (&gt;3*25A t/m 3*80A)</v>
      </c>
      <c r="H17" s="386"/>
      <c r="I17" s="386"/>
      <c r="J17" s="628">
        <f t="shared" si="10"/>
        <v>7152.08316685507</v>
      </c>
      <c r="L17" s="614" t="str">
        <f t="shared" si="11"/>
        <v>Afnemers &gt; 3 x 25A ET (doorlaatwaarde &gt;3x25A t/m 3x80A aangesloten op ls net)</v>
      </c>
      <c r="M17" s="386"/>
      <c r="N17" s="386"/>
      <c r="O17" s="628">
        <f t="shared" si="12"/>
        <v>0</v>
      </c>
      <c r="Q17" s="614" t="str">
        <f t="shared" si="1"/>
        <v>Afnemers &gt; 3 * 25 A  (DT) (&gt; 3x25A t/m 3x80A aangesloten op ls)</v>
      </c>
      <c r="R17" s="386"/>
      <c r="S17" s="386"/>
      <c r="T17" s="628">
        <f>T57</f>
        <v>0</v>
      </c>
      <c r="V17" s="614" t="str">
        <f t="shared" si="2"/>
        <v>&gt;1000 kVA en t/m 2,0 MVA</v>
      </c>
      <c r="W17" s="386"/>
      <c r="X17" s="386"/>
      <c r="Y17" s="628">
        <f t="shared" si="3"/>
        <v>2141.3891493055535</v>
      </c>
      <c r="AA17" s="614" t="str">
        <f t="shared" si="4"/>
        <v>Afnemers &gt; 3x25A t/m 3x80A DT</v>
      </c>
      <c r="AB17" s="386"/>
      <c r="AC17" s="386"/>
      <c r="AD17" s="628">
        <f t="shared" si="13"/>
        <v>1178</v>
      </c>
      <c r="AF17" s="630"/>
      <c r="AG17" s="33"/>
      <c r="AH17" s="33"/>
      <c r="AI17" s="631"/>
      <c r="AK17" s="614" t="str">
        <f t="shared" si="7"/>
        <v>&gt;3*400A en t/m 3*480 A af sec zijde LS</v>
      </c>
      <c r="AL17" s="386"/>
      <c r="AM17" s="386"/>
      <c r="AN17" s="628">
        <f t="shared" si="8"/>
        <v>16.471322691041664</v>
      </c>
    </row>
    <row r="18" spans="1:40" ht="12.75">
      <c r="A18" s="103"/>
      <c r="B18" s="614" t="str">
        <f t="shared" si="0"/>
        <v>Afnemers &gt; 3*25A t/m 3*80A ET</v>
      </c>
      <c r="C18" s="386"/>
      <c r="D18" s="386"/>
      <c r="E18" s="628">
        <f t="shared" si="14"/>
        <v>410</v>
      </c>
      <c r="G18" s="614" t="str">
        <f t="shared" si="9"/>
        <v>Afnemers &gt; 1*6A DT (&gt; 1*6A t/m 3*25A)</v>
      </c>
      <c r="H18" s="386"/>
      <c r="I18" s="386"/>
      <c r="J18" s="628">
        <f t="shared" si="10"/>
        <v>0</v>
      </c>
      <c r="L18" s="614" t="str">
        <f t="shared" si="11"/>
        <v>Afnemers t/m 3 x 25A DT (doorlaatwaarde t/m 3x25A aangesloten op ls net)</v>
      </c>
      <c r="M18" s="386"/>
      <c r="N18" s="386"/>
      <c r="O18" s="628">
        <f t="shared" si="12"/>
        <v>2407244.50042371</v>
      </c>
      <c r="Q18" s="614" t="str">
        <f t="shared" si="1"/>
        <v>Afnemers &gt; 3 * 25 A  (ET)  (&gt; 3x25A t/m 3x80A aangesloten op ls)</v>
      </c>
      <c r="R18" s="386"/>
      <c r="S18" s="386"/>
      <c r="T18" s="628">
        <f>T58</f>
        <v>3375.00810764053</v>
      </c>
      <c r="V18" s="614" t="str">
        <f t="shared" si="2"/>
        <v>&gt;2 MVA en t/m 5,0 MVA</v>
      </c>
      <c r="W18" s="386"/>
      <c r="X18" s="386"/>
      <c r="Y18" s="628">
        <f t="shared" si="3"/>
        <v>129.0146076388889</v>
      </c>
      <c r="AA18" s="614" t="str">
        <f t="shared" si="4"/>
        <v>Afnemers &gt; 3x25A t/m 3x80A ET</v>
      </c>
      <c r="AB18" s="386"/>
      <c r="AC18" s="386"/>
      <c r="AD18" s="628">
        <f t="shared" si="13"/>
        <v>0</v>
      </c>
      <c r="AF18" s="630"/>
      <c r="AG18" s="33"/>
      <c r="AH18" s="33"/>
      <c r="AI18" s="631"/>
      <c r="AK18" s="614" t="str">
        <f t="shared" si="7"/>
        <v>&gt;3*250A en t/m 3*400 A af sec zijde LS  </v>
      </c>
      <c r="AL18" s="386"/>
      <c r="AM18" s="386"/>
      <c r="AN18" s="628">
        <f t="shared" si="8"/>
        <v>144.68208137852696</v>
      </c>
    </row>
    <row r="19" spans="1:40" ht="12.75">
      <c r="A19" s="103"/>
      <c r="B19" s="614" t="str">
        <f t="shared" si="0"/>
        <v>Afnemers &gt;  1* 6A  t/m 3* 25A DT</v>
      </c>
      <c r="C19" s="386"/>
      <c r="D19" s="386"/>
      <c r="E19" s="628">
        <f t="shared" si="14"/>
        <v>31654</v>
      </c>
      <c r="G19" s="614" t="str">
        <f t="shared" si="9"/>
        <v>Afnemers &gt; 1*6A ET (&gt; 1*6A t/m 3*25A)</v>
      </c>
      <c r="H19" s="386"/>
      <c r="I19" s="386"/>
      <c r="J19" s="628">
        <f t="shared" si="10"/>
        <v>195378.583499812</v>
      </c>
      <c r="L19" s="614" t="str">
        <f t="shared" si="11"/>
        <v>Afnemers t/m 3 x 25A ET (doorlaatwaarde t/m 3x25A aangesloten op ls net)</v>
      </c>
      <c r="M19" s="386"/>
      <c r="N19" s="386"/>
      <c r="O19" s="628">
        <f t="shared" si="12"/>
        <v>0</v>
      </c>
      <c r="Q19" s="614" t="str">
        <f t="shared" si="1"/>
        <v>Afnemers &lt; 3 * 25 A  (DT) (&gt; 1x6A t/m 3x25A aangesloten op ls)</v>
      </c>
      <c r="R19" s="386"/>
      <c r="S19" s="386"/>
      <c r="T19" s="628">
        <f>T59</f>
        <v>0</v>
      </c>
      <c r="V19" s="614" t="str">
        <f t="shared" si="2"/>
        <v>&gt;5 MVA en t/m 10,0 MVA</v>
      </c>
      <c r="W19" s="386"/>
      <c r="X19" s="386"/>
      <c r="Y19" s="628">
        <f t="shared" si="3"/>
        <v>63.974839403749996</v>
      </c>
      <c r="AA19" s="614" t="str">
        <f t="shared" si="4"/>
        <v>Afnemers 0  t/m 3x25A en 1x40A DT</v>
      </c>
      <c r="AB19" s="386"/>
      <c r="AC19" s="386"/>
      <c r="AD19" s="628">
        <f t="shared" si="13"/>
        <v>19529</v>
      </c>
      <c r="AF19" s="630"/>
      <c r="AG19" s="33"/>
      <c r="AH19" s="33"/>
      <c r="AI19" s="631"/>
      <c r="AK19" s="614" t="str">
        <f t="shared" si="7"/>
        <v>&gt;3*200A en t/m 3*250 A af sec zijde LS </v>
      </c>
      <c r="AL19" s="386"/>
      <c r="AM19" s="386"/>
      <c r="AN19" s="628">
        <f t="shared" si="8"/>
        <v>87.92818266925963</v>
      </c>
    </row>
    <row r="20" spans="1:40" ht="12.75">
      <c r="A20" s="103"/>
      <c r="B20" s="614" t="str">
        <f t="shared" si="0"/>
        <v>Afnemers &gt;  1* 6A  t/m 3* 25A ET</v>
      </c>
      <c r="C20" s="386"/>
      <c r="D20" s="386"/>
      <c r="E20" s="628">
        <f t="shared" si="14"/>
        <v>18710</v>
      </c>
      <c r="G20" s="614" t="str">
        <f t="shared" si="9"/>
        <v>Afnemers t/m 1 x 6A geschakeld net</v>
      </c>
      <c r="H20" s="386"/>
      <c r="I20" s="386"/>
      <c r="J20" s="628">
        <f t="shared" si="10"/>
        <v>84946</v>
      </c>
      <c r="L20" s="614" t="str">
        <f t="shared" si="11"/>
        <v>Afnemers t/m 6A (geschakeld ls net)</v>
      </c>
      <c r="M20" s="386"/>
      <c r="N20" s="386"/>
      <c r="O20" s="628">
        <f t="shared" si="12"/>
        <v>1062638.4827764828</v>
      </c>
      <c r="Q20" s="614" t="str">
        <f t="shared" si="1"/>
        <v>Afnemers &lt; 3 * 25 A  (ET) (&gt; 1x6A t/m 3x25A aangesloten op ls)</v>
      </c>
      <c r="R20" s="386"/>
      <c r="S20" s="386"/>
      <c r="T20" s="628">
        <f>T60</f>
        <v>99272.0752223584</v>
      </c>
      <c r="V20" s="614" t="str">
        <f t="shared" si="2"/>
        <v>t/m 1 x 6A op geschakeld net</v>
      </c>
      <c r="W20" s="386"/>
      <c r="X20" s="386"/>
      <c r="Y20" s="628">
        <f t="shared" si="3"/>
        <v>772155.8848441471</v>
      </c>
      <c r="AA20" s="614" t="str">
        <f t="shared" si="4"/>
        <v>Afnemers 0  t/m 3x25A en 1x40A ET</v>
      </c>
      <c r="AB20" s="386"/>
      <c r="AC20" s="386"/>
      <c r="AD20" s="628">
        <f t="shared" si="13"/>
        <v>10175</v>
      </c>
      <c r="AF20" s="630"/>
      <c r="AG20" s="33"/>
      <c r="AH20" s="33"/>
      <c r="AI20" s="631"/>
      <c r="AK20" s="614" t="str">
        <f t="shared" si="7"/>
        <v>&gt;3*80A en t/m 3*200 A af sec zijde LS       </v>
      </c>
      <c r="AL20" s="386"/>
      <c r="AM20" s="386"/>
      <c r="AN20" s="628">
        <f t="shared" si="8"/>
        <v>501.9442954403272</v>
      </c>
    </row>
    <row r="21" spans="1:40" ht="12.75">
      <c r="A21" s="103"/>
      <c r="B21" s="614" t="str">
        <f t="shared" si="0"/>
        <v>Afnemers 0 t/m 1* 6A  (OV)</v>
      </c>
      <c r="C21" s="386"/>
      <c r="D21" s="386"/>
      <c r="E21" s="628">
        <f t="shared" si="14"/>
        <v>22611</v>
      </c>
      <c r="G21" s="630"/>
      <c r="H21" s="33"/>
      <c r="I21" s="33"/>
      <c r="J21" s="631"/>
      <c r="L21" s="614"/>
      <c r="M21" s="386"/>
      <c r="N21" s="386"/>
      <c r="O21" s="631"/>
      <c r="Q21" s="614" t="str">
        <f t="shared" si="1"/>
        <v>Afnemers LS geschakeld (t/m 1x6A)</v>
      </c>
      <c r="R21" s="386"/>
      <c r="S21" s="386"/>
      <c r="T21" s="628">
        <f>T61</f>
        <v>44297.611249095964</v>
      </c>
      <c r="V21" s="630"/>
      <c r="W21" s="33"/>
      <c r="X21" s="33"/>
      <c r="Y21" s="631"/>
      <c r="AA21" s="614" t="str">
        <f t="shared" si="4"/>
        <v>Afnemers 0 t/m 1x6A LS geschakeld</v>
      </c>
      <c r="AB21" s="386"/>
      <c r="AC21" s="386"/>
      <c r="AD21" s="628">
        <f t="shared" si="13"/>
        <v>18103</v>
      </c>
      <c r="AF21" s="630"/>
      <c r="AG21" s="33"/>
      <c r="AH21" s="33"/>
      <c r="AI21" s="631"/>
      <c r="AK21" s="614" t="str">
        <f t="shared" si="7"/>
        <v>&gt;3*63A en t/m 3*80A           </v>
      </c>
      <c r="AL21" s="386"/>
      <c r="AM21" s="386"/>
      <c r="AN21" s="628">
        <f t="shared" si="8"/>
        <v>627.099171029286</v>
      </c>
    </row>
    <row r="22" spans="1:40" ht="12.75">
      <c r="A22" s="103"/>
      <c r="B22" s="630"/>
      <c r="C22" s="33"/>
      <c r="D22" s="33"/>
      <c r="E22" s="631"/>
      <c r="G22" s="630"/>
      <c r="H22" s="33"/>
      <c r="I22" s="33"/>
      <c r="J22" s="631"/>
      <c r="K22" s="84"/>
      <c r="L22" s="630"/>
      <c r="M22" s="33"/>
      <c r="N22" s="33"/>
      <c r="O22" s="631"/>
      <c r="P22" s="84"/>
      <c r="Q22" s="630"/>
      <c r="R22" s="33"/>
      <c r="S22" s="33"/>
      <c r="T22" s="631"/>
      <c r="V22" s="630"/>
      <c r="W22" s="33"/>
      <c r="X22" s="33"/>
      <c r="Y22" s="631"/>
      <c r="AA22" s="630"/>
      <c r="AB22" s="33"/>
      <c r="AC22" s="33"/>
      <c r="AD22" s="631"/>
      <c r="AF22" s="630"/>
      <c r="AG22" s="33"/>
      <c r="AH22" s="33"/>
      <c r="AI22" s="631"/>
      <c r="AK22" s="614" t="str">
        <f t="shared" si="7"/>
        <v>&gt;3*50A en t/m 3*63A         </v>
      </c>
      <c r="AL22" s="386"/>
      <c r="AM22" s="386"/>
      <c r="AN22" s="628">
        <f t="shared" si="8"/>
        <v>660.471281247241</v>
      </c>
    </row>
    <row r="23" spans="1:40" ht="12.75">
      <c r="A23" s="103"/>
      <c r="B23" s="630"/>
      <c r="C23" s="33"/>
      <c r="D23" s="33"/>
      <c r="E23" s="631"/>
      <c r="G23" s="630"/>
      <c r="H23" s="33"/>
      <c r="I23" s="33"/>
      <c r="J23" s="631"/>
      <c r="K23" s="84"/>
      <c r="L23" s="630"/>
      <c r="M23" s="33"/>
      <c r="N23" s="33"/>
      <c r="O23" s="631"/>
      <c r="P23" s="84"/>
      <c r="Q23" s="630"/>
      <c r="R23" s="33"/>
      <c r="S23" s="33"/>
      <c r="T23" s="631"/>
      <c r="V23" s="630"/>
      <c r="W23" s="33"/>
      <c r="X23" s="33"/>
      <c r="Y23" s="631"/>
      <c r="AA23" s="630"/>
      <c r="AB23" s="33"/>
      <c r="AC23" s="33"/>
      <c r="AD23" s="631"/>
      <c r="AF23" s="630"/>
      <c r="AG23" s="33"/>
      <c r="AH23" s="33"/>
      <c r="AI23" s="631"/>
      <c r="AK23" s="614" t="str">
        <f t="shared" si="7"/>
        <v>&gt;3*35A en t/m 3*50A</v>
      </c>
      <c r="AL23" s="386"/>
      <c r="AM23" s="386"/>
      <c r="AN23" s="628">
        <f t="shared" si="8"/>
        <v>825.37829315682</v>
      </c>
    </row>
    <row r="24" spans="1:40" ht="12.75">
      <c r="A24" s="103"/>
      <c r="B24" s="630"/>
      <c r="C24" s="33"/>
      <c r="D24" s="33"/>
      <c r="E24" s="631"/>
      <c r="G24" s="630"/>
      <c r="H24" s="33"/>
      <c r="I24" s="33"/>
      <c r="J24" s="631"/>
      <c r="K24" s="84"/>
      <c r="L24" s="630"/>
      <c r="M24" s="33"/>
      <c r="N24" s="33"/>
      <c r="O24" s="631"/>
      <c r="P24" s="84"/>
      <c r="Q24" s="630"/>
      <c r="R24" s="33"/>
      <c r="S24" s="33"/>
      <c r="T24" s="631"/>
      <c r="V24" s="630"/>
      <c r="W24" s="33"/>
      <c r="X24" s="33"/>
      <c r="Y24" s="631"/>
      <c r="AA24" s="630"/>
      <c r="AB24" s="33"/>
      <c r="AC24" s="33"/>
      <c r="AD24" s="631"/>
      <c r="AF24" s="630"/>
      <c r="AG24" s="33"/>
      <c r="AH24" s="33"/>
      <c r="AI24" s="631"/>
      <c r="AK24" s="614" t="str">
        <f t="shared" si="7"/>
        <v>&gt;3*25A en t/m 3*35A</v>
      </c>
      <c r="AL24" s="386"/>
      <c r="AM24" s="386"/>
      <c r="AN24" s="628">
        <f t="shared" si="8"/>
        <v>1552.82545701789</v>
      </c>
    </row>
    <row r="25" spans="1:40" ht="12.75">
      <c r="A25" s="103"/>
      <c r="B25" s="630"/>
      <c r="C25" s="33"/>
      <c r="D25" s="33"/>
      <c r="E25" s="631"/>
      <c r="G25" s="630"/>
      <c r="H25" s="33"/>
      <c r="I25" s="33"/>
      <c r="J25" s="631"/>
      <c r="K25" s="84"/>
      <c r="L25" s="630"/>
      <c r="M25" s="33"/>
      <c r="N25" s="33"/>
      <c r="O25" s="631"/>
      <c r="P25" s="84"/>
      <c r="Q25" s="630"/>
      <c r="R25" s="33"/>
      <c r="S25" s="33"/>
      <c r="T25" s="631"/>
      <c r="V25" s="630"/>
      <c r="W25" s="33"/>
      <c r="X25" s="33"/>
      <c r="Y25" s="631"/>
      <c r="AA25" s="630"/>
      <c r="AB25" s="33"/>
      <c r="AC25" s="33"/>
      <c r="AD25" s="631"/>
      <c r="AF25" s="630"/>
      <c r="AG25" s="33"/>
      <c r="AH25" s="33"/>
      <c r="AI25" s="631"/>
      <c r="AK25" s="614" t="str">
        <f t="shared" si="7"/>
        <v>&gt; 1*6A en t/m 3*25A  </v>
      </c>
      <c r="AL25" s="386"/>
      <c r="AM25" s="386"/>
      <c r="AN25" s="628">
        <f t="shared" si="8"/>
        <v>48234.725703994</v>
      </c>
    </row>
    <row r="26" spans="1:40" ht="12.75">
      <c r="A26" s="103"/>
      <c r="B26" s="630"/>
      <c r="C26" s="33"/>
      <c r="D26" s="33"/>
      <c r="E26" s="631"/>
      <c r="G26" s="630"/>
      <c r="H26" s="33"/>
      <c r="I26" s="33"/>
      <c r="J26" s="631"/>
      <c r="K26" s="84"/>
      <c r="L26" s="630"/>
      <c r="M26" s="33"/>
      <c r="N26" s="33"/>
      <c r="O26" s="631"/>
      <c r="P26" s="84"/>
      <c r="Q26" s="630"/>
      <c r="R26" s="33"/>
      <c r="S26" s="33"/>
      <c r="T26" s="631"/>
      <c r="V26" s="630"/>
      <c r="W26" s="33"/>
      <c r="X26" s="33"/>
      <c r="Y26" s="631"/>
      <c r="AA26" s="630"/>
      <c r="AB26" s="33"/>
      <c r="AC26" s="33"/>
      <c r="AD26" s="631"/>
      <c r="AF26" s="630"/>
      <c r="AG26" s="33"/>
      <c r="AH26" s="33"/>
      <c r="AI26" s="631"/>
      <c r="AK26" s="614" t="str">
        <f t="shared" si="7"/>
        <v>t/m 1*6A (geschakeld net)</v>
      </c>
      <c r="AL26" s="386"/>
      <c r="AM26" s="386"/>
      <c r="AN26" s="628">
        <f t="shared" si="8"/>
        <v>24409.2761343099</v>
      </c>
    </row>
    <row r="27" spans="1:40" ht="12.75">
      <c r="A27" s="103"/>
      <c r="B27" s="614"/>
      <c r="C27" s="386"/>
      <c r="D27" s="386"/>
      <c r="E27" s="629"/>
      <c r="G27" s="614"/>
      <c r="H27" s="386"/>
      <c r="I27" s="386"/>
      <c r="J27" s="629"/>
      <c r="L27" s="614"/>
      <c r="M27" s="386"/>
      <c r="N27" s="386"/>
      <c r="O27" s="629"/>
      <c r="Q27" s="614"/>
      <c r="R27" s="386"/>
      <c r="S27" s="386"/>
      <c r="T27" s="629"/>
      <c r="V27" s="614"/>
      <c r="W27" s="386"/>
      <c r="X27" s="386"/>
      <c r="Y27" s="629"/>
      <c r="AA27" s="614"/>
      <c r="AB27" s="386"/>
      <c r="AC27" s="386"/>
      <c r="AD27" s="629"/>
      <c r="AF27" s="614"/>
      <c r="AG27" s="386"/>
      <c r="AH27" s="386"/>
      <c r="AI27" s="629"/>
      <c r="AK27" s="614"/>
      <c r="AL27" s="386"/>
      <c r="AM27" s="386"/>
      <c r="AN27" s="629"/>
    </row>
    <row r="28" spans="1:40" ht="12.75">
      <c r="A28" s="103"/>
      <c r="B28" s="614"/>
      <c r="C28" s="386"/>
      <c r="D28" s="386"/>
      <c r="E28" s="388"/>
      <c r="G28" s="614"/>
      <c r="H28" s="386"/>
      <c r="I28" s="386"/>
      <c r="J28" s="388"/>
      <c r="L28" s="614"/>
      <c r="M28" s="386"/>
      <c r="N28" s="386"/>
      <c r="O28" s="388"/>
      <c r="Q28" s="614"/>
      <c r="R28" s="386"/>
      <c r="S28" s="386"/>
      <c r="T28" s="388"/>
      <c r="V28" s="614"/>
      <c r="W28" s="386"/>
      <c r="X28" s="386"/>
      <c r="Y28" s="388"/>
      <c r="AA28" s="614"/>
      <c r="AB28" s="386"/>
      <c r="AC28" s="386"/>
      <c r="AD28" s="388"/>
      <c r="AF28" s="614"/>
      <c r="AG28" s="386"/>
      <c r="AH28" s="386"/>
      <c r="AI28" s="388"/>
      <c r="AK28" s="614"/>
      <c r="AL28" s="386"/>
      <c r="AM28" s="386"/>
      <c r="AN28" s="388"/>
    </row>
    <row r="29" spans="1:40" ht="12.75">
      <c r="A29" s="103"/>
      <c r="B29" s="627" t="s">
        <v>37</v>
      </c>
      <c r="C29" s="386"/>
      <c r="D29" s="386"/>
      <c r="E29" s="388"/>
      <c r="G29" s="627" t="s">
        <v>37</v>
      </c>
      <c r="H29" s="386"/>
      <c r="I29" s="386"/>
      <c r="J29" s="388"/>
      <c r="L29" s="627" t="s">
        <v>37</v>
      </c>
      <c r="M29" s="386"/>
      <c r="N29" s="386"/>
      <c r="O29" s="388"/>
      <c r="Q29" s="627" t="s">
        <v>37</v>
      </c>
      <c r="R29" s="386"/>
      <c r="S29" s="386"/>
      <c r="T29" s="388"/>
      <c r="V29" s="627" t="s">
        <v>37</v>
      </c>
      <c r="W29" s="386"/>
      <c r="X29" s="386"/>
      <c r="Y29" s="388"/>
      <c r="AA29" s="627" t="s">
        <v>37</v>
      </c>
      <c r="AB29" s="386"/>
      <c r="AC29" s="386"/>
      <c r="AD29" s="388"/>
      <c r="AF29" s="627" t="s">
        <v>37</v>
      </c>
      <c r="AG29" s="386"/>
      <c r="AH29" s="386"/>
      <c r="AI29" s="388"/>
      <c r="AK29" s="627" t="s">
        <v>37</v>
      </c>
      <c r="AL29" s="386"/>
      <c r="AM29" s="386"/>
      <c r="AN29" s="388"/>
    </row>
    <row r="30" spans="1:40" ht="12.75">
      <c r="A30" s="103"/>
      <c r="B30" s="614"/>
      <c r="C30" s="386"/>
      <c r="D30" s="386"/>
      <c r="E30" s="388"/>
      <c r="G30" s="614"/>
      <c r="H30" s="386"/>
      <c r="I30" s="386"/>
      <c r="J30" s="388"/>
      <c r="L30" s="614"/>
      <c r="M30" s="386"/>
      <c r="N30" s="386"/>
      <c r="O30" s="388"/>
      <c r="Q30" s="614"/>
      <c r="R30" s="386"/>
      <c r="S30" s="386"/>
      <c r="T30" s="388"/>
      <c r="V30" s="614"/>
      <c r="W30" s="386"/>
      <c r="X30" s="386"/>
      <c r="Y30" s="388"/>
      <c r="AA30" s="614"/>
      <c r="AB30" s="386"/>
      <c r="AC30" s="386"/>
      <c r="AD30" s="388"/>
      <c r="AF30" s="614"/>
      <c r="AG30" s="386"/>
      <c r="AH30" s="386"/>
      <c r="AI30" s="388"/>
      <c r="AK30" s="614"/>
      <c r="AL30" s="386"/>
      <c r="AM30" s="386"/>
      <c r="AN30" s="388"/>
    </row>
    <row r="31" spans="1:40" ht="12.75">
      <c r="A31" s="103"/>
      <c r="B31" s="630"/>
      <c r="C31" s="33"/>
      <c r="D31" s="33"/>
      <c r="E31" s="632"/>
      <c r="G31" s="614" t="str">
        <f>G71</f>
        <v>3-10 MVA</v>
      </c>
      <c r="H31" s="386"/>
      <c r="I31" s="386"/>
      <c r="J31" s="628">
        <f>J71</f>
        <v>146306</v>
      </c>
      <c r="K31" s="624"/>
      <c r="L31" s="633" t="str">
        <f>L71</f>
        <v>PAV &gt; 6 t/m 10 MVA</v>
      </c>
      <c r="M31" s="634"/>
      <c r="N31" s="634"/>
      <c r="O31" s="628">
        <f>O71</f>
        <v>95345.90274841437</v>
      </c>
      <c r="P31" s="624"/>
      <c r="Q31" s="633" t="str">
        <f>Q71</f>
        <v>3-10 MVA</v>
      </c>
      <c r="R31" s="634"/>
      <c r="S31" s="634"/>
      <c r="T31" s="628">
        <f>T71</f>
        <v>2834.9933333333333</v>
      </c>
      <c r="U31" s="624"/>
      <c r="V31" s="633" t="str">
        <f>V71</f>
        <v>3-10 MVA</v>
      </c>
      <c r="W31" s="634"/>
      <c r="X31" s="634"/>
      <c r="Y31" s="628">
        <f>Y71</f>
        <v>766153.7973478092</v>
      </c>
      <c r="Z31" s="624"/>
      <c r="AA31" s="633" t="str">
        <f>AA71</f>
        <v>3-10 MVA</v>
      </c>
      <c r="AB31" s="634"/>
      <c r="AC31" s="634"/>
      <c r="AD31" s="628">
        <f>AD71</f>
        <v>5615</v>
      </c>
      <c r="AE31" s="624"/>
      <c r="AF31" s="633" t="str">
        <f>AF71</f>
        <v>3-10 MVA</v>
      </c>
      <c r="AG31" s="634"/>
      <c r="AH31" s="634"/>
      <c r="AI31" s="628">
        <f>AI71</f>
        <v>105135.99291762552</v>
      </c>
      <c r="AJ31" s="624"/>
      <c r="AK31" s="633" t="str">
        <f>AK71</f>
        <v>3-10 MVA</v>
      </c>
      <c r="AL31" s="634"/>
      <c r="AM31" s="634"/>
      <c r="AN31" s="628">
        <f>AN71</f>
        <v>2300</v>
      </c>
    </row>
    <row r="32" spans="1:40" ht="12.75">
      <c r="A32" s="103"/>
      <c r="B32" s="630"/>
      <c r="C32" s="33"/>
      <c r="D32" s="33"/>
      <c r="E32" s="632"/>
      <c r="G32" s="630"/>
      <c r="H32" s="33"/>
      <c r="I32" s="33"/>
      <c r="J32" s="631"/>
      <c r="K32" s="624"/>
      <c r="L32" s="633" t="str">
        <f>L72</f>
        <v>PAV 3 t/m 6 MVA</v>
      </c>
      <c r="M32" s="634"/>
      <c r="N32" s="634"/>
      <c r="O32" s="628">
        <f>O72</f>
        <v>105494.5803237858</v>
      </c>
      <c r="P32" s="624"/>
      <c r="Q32" s="635"/>
      <c r="R32" s="636"/>
      <c r="S32" s="636"/>
      <c r="T32" s="631"/>
      <c r="U32" s="637"/>
      <c r="V32" s="635"/>
      <c r="W32" s="636"/>
      <c r="X32" s="636"/>
      <c r="Y32" s="631"/>
      <c r="Z32" s="637"/>
      <c r="AA32" s="635"/>
      <c r="AB32" s="636"/>
      <c r="AC32" s="636"/>
      <c r="AD32" s="631"/>
      <c r="AE32" s="637"/>
      <c r="AF32" s="635"/>
      <c r="AG32" s="636"/>
      <c r="AH32" s="636"/>
      <c r="AI32" s="631"/>
      <c r="AJ32" s="637"/>
      <c r="AK32" s="635"/>
      <c r="AL32" s="636"/>
      <c r="AM32" s="636"/>
      <c r="AN32" s="631"/>
    </row>
    <row r="33" spans="1:40" ht="12.75">
      <c r="A33" s="103"/>
      <c r="B33" s="389"/>
      <c r="C33" s="390"/>
      <c r="D33" s="390"/>
      <c r="E33" s="617"/>
      <c r="G33" s="389"/>
      <c r="H33" s="390"/>
      <c r="I33" s="390"/>
      <c r="J33" s="617"/>
      <c r="L33" s="389"/>
      <c r="M33" s="390"/>
      <c r="N33" s="390"/>
      <c r="O33" s="617"/>
      <c r="Q33" s="389"/>
      <c r="R33" s="390"/>
      <c r="S33" s="390"/>
      <c r="T33" s="617"/>
      <c r="V33" s="389"/>
      <c r="W33" s="390"/>
      <c r="X33" s="390"/>
      <c r="Y33" s="617"/>
      <c r="AA33" s="389"/>
      <c r="AB33" s="390"/>
      <c r="AC33" s="390"/>
      <c r="AD33" s="617"/>
      <c r="AF33" s="389"/>
      <c r="AG33" s="390"/>
      <c r="AH33" s="390"/>
      <c r="AI33" s="617"/>
      <c r="AK33" s="389"/>
      <c r="AL33" s="390"/>
      <c r="AM33" s="390"/>
      <c r="AN33" s="617"/>
    </row>
    <row r="34" ht="12.75">
      <c r="A34" s="103"/>
    </row>
    <row r="35" ht="12.75">
      <c r="A35" s="103"/>
    </row>
    <row r="36" ht="12.75">
      <c r="A36" s="103"/>
    </row>
    <row r="37" spans="1:12" s="107" customFormat="1" ht="12.75">
      <c r="A37" s="107" t="s">
        <v>132</v>
      </c>
      <c r="B37" s="78"/>
      <c r="C37" s="108"/>
      <c r="D37" s="108"/>
      <c r="E37" s="108"/>
      <c r="F37" s="108"/>
      <c r="G37" s="108"/>
      <c r="H37" s="108"/>
      <c r="I37" s="108"/>
      <c r="J37" s="108"/>
      <c r="K37" s="108"/>
      <c r="L37" s="108"/>
    </row>
    <row r="38" s="301" customFormat="1" ht="12.75">
      <c r="A38" s="106"/>
    </row>
    <row r="39" spans="1:13" s="301" customFormat="1" ht="12.75">
      <c r="A39" s="106"/>
      <c r="B39" s="302" t="s">
        <v>348</v>
      </c>
      <c r="C39" s="303" t="s">
        <v>217</v>
      </c>
      <c r="D39" s="303"/>
      <c r="E39" s="303"/>
      <c r="F39" s="303"/>
      <c r="G39" s="303"/>
      <c r="H39" s="303"/>
      <c r="I39" s="303"/>
      <c r="J39" s="303"/>
      <c r="K39" s="303"/>
      <c r="L39" s="303"/>
      <c r="M39" s="304"/>
    </row>
    <row r="40" spans="1:13" s="301" customFormat="1" ht="12.75">
      <c r="A40" s="106"/>
      <c r="B40" s="305" t="s">
        <v>349</v>
      </c>
      <c r="C40" s="306" t="s">
        <v>217</v>
      </c>
      <c r="D40" s="306"/>
      <c r="E40" s="306"/>
      <c r="F40" s="306"/>
      <c r="G40" s="306"/>
      <c r="H40" s="306"/>
      <c r="I40" s="306"/>
      <c r="J40" s="306"/>
      <c r="K40" s="306"/>
      <c r="L40" s="306"/>
      <c r="M40" s="307"/>
    </row>
    <row r="41" spans="1:13" s="301" customFormat="1" ht="12.75">
      <c r="A41" s="106"/>
      <c r="B41" s="308" t="s">
        <v>350</v>
      </c>
      <c r="C41" s="309" t="s">
        <v>218</v>
      </c>
      <c r="D41" s="309"/>
      <c r="E41" s="309"/>
      <c r="F41" s="309"/>
      <c r="G41" s="309"/>
      <c r="H41" s="309"/>
      <c r="I41" s="309"/>
      <c r="J41" s="309"/>
      <c r="K41" s="309"/>
      <c r="L41" s="309"/>
      <c r="M41" s="310"/>
    </row>
    <row r="42" spans="2:13" s="301" customFormat="1" ht="12.75">
      <c r="B42" s="311" t="s">
        <v>215</v>
      </c>
      <c r="C42" s="312" t="s">
        <v>218</v>
      </c>
      <c r="D42" s="312"/>
      <c r="E42" s="312"/>
      <c r="F42" s="312"/>
      <c r="G42" s="312"/>
      <c r="H42" s="312"/>
      <c r="I42" s="312"/>
      <c r="J42" s="312"/>
      <c r="K42" s="312"/>
      <c r="L42" s="312"/>
      <c r="M42" s="313"/>
    </row>
    <row r="43" spans="2:13" s="301" customFormat="1" ht="12.75">
      <c r="B43" s="446" t="s">
        <v>343</v>
      </c>
      <c r="C43" s="447" t="s">
        <v>220</v>
      </c>
      <c r="D43" s="447"/>
      <c r="E43" s="447"/>
      <c r="F43" s="447"/>
      <c r="G43" s="447"/>
      <c r="H43" s="447"/>
      <c r="I43" s="447"/>
      <c r="J43" s="447"/>
      <c r="K43" s="447"/>
      <c r="L43" s="447"/>
      <c r="M43" s="448"/>
    </row>
    <row r="44" spans="2:13" s="301" customFormat="1" ht="12.75">
      <c r="B44" s="449" t="s">
        <v>345</v>
      </c>
      <c r="C44" s="450" t="s">
        <v>133</v>
      </c>
      <c r="D44" s="450"/>
      <c r="E44" s="450"/>
      <c r="F44" s="450"/>
      <c r="G44" s="450"/>
      <c r="H44" s="450"/>
      <c r="I44" s="450"/>
      <c r="J44" s="450"/>
      <c r="K44" s="450"/>
      <c r="L44" s="450"/>
      <c r="M44" s="451"/>
    </row>
    <row r="45" ht="12.75"/>
    <row r="46" spans="1:12" s="107" customFormat="1" ht="12.75">
      <c r="A46" s="107" t="s">
        <v>474</v>
      </c>
      <c r="B46" s="78"/>
      <c r="C46" s="108"/>
      <c r="D46" s="108"/>
      <c r="E46" s="108"/>
      <c r="F46" s="108"/>
      <c r="G46" s="108"/>
      <c r="H46" s="108"/>
      <c r="I46" s="108"/>
      <c r="J46" s="108"/>
      <c r="K46" s="108"/>
      <c r="L46" s="108"/>
    </row>
    <row r="47" spans="2:6" ht="12.75">
      <c r="B47" s="84"/>
      <c r="C47" s="84"/>
      <c r="D47" s="84"/>
      <c r="E47" s="84"/>
      <c r="F47" s="84"/>
    </row>
    <row r="48" spans="2:37" s="301" customFormat="1" ht="12.75">
      <c r="B48" s="317" t="s">
        <v>139</v>
      </c>
      <c r="C48" s="318"/>
      <c r="D48" s="318"/>
      <c r="E48" s="318"/>
      <c r="F48" s="318"/>
      <c r="G48" s="319" t="s">
        <v>58</v>
      </c>
      <c r="L48" s="319" t="s">
        <v>141</v>
      </c>
      <c r="Q48" s="319" t="s">
        <v>388</v>
      </c>
      <c r="V48" s="317" t="s">
        <v>142</v>
      </c>
      <c r="AA48" s="319" t="s">
        <v>143</v>
      </c>
      <c r="AF48" s="319" t="s">
        <v>140</v>
      </c>
      <c r="AK48" s="103" t="s">
        <v>59</v>
      </c>
    </row>
    <row r="49" spans="2:40" s="301" customFormat="1" ht="12.75">
      <c r="B49" s="320" t="s">
        <v>227</v>
      </c>
      <c r="C49" s="321"/>
      <c r="D49" s="323" t="s">
        <v>346</v>
      </c>
      <c r="E49" s="322" t="s">
        <v>347</v>
      </c>
      <c r="G49" s="320" t="s">
        <v>227</v>
      </c>
      <c r="H49" s="321"/>
      <c r="I49" s="104" t="s">
        <v>346</v>
      </c>
      <c r="J49" s="112" t="s">
        <v>347</v>
      </c>
      <c r="L49" s="320" t="s">
        <v>227</v>
      </c>
      <c r="M49" s="321"/>
      <c r="N49" s="104" t="s">
        <v>346</v>
      </c>
      <c r="O49" s="105" t="s">
        <v>347</v>
      </c>
      <c r="Q49" s="320" t="s">
        <v>227</v>
      </c>
      <c r="R49" s="321"/>
      <c r="S49" s="104" t="s">
        <v>346</v>
      </c>
      <c r="T49" s="117" t="s">
        <v>347</v>
      </c>
      <c r="V49" s="320" t="s">
        <v>227</v>
      </c>
      <c r="W49" s="321"/>
      <c r="X49" s="104" t="s">
        <v>346</v>
      </c>
      <c r="Y49" s="117" t="s">
        <v>347</v>
      </c>
      <c r="AA49" s="320" t="s">
        <v>227</v>
      </c>
      <c r="AB49" s="321"/>
      <c r="AC49" s="104" t="s">
        <v>346</v>
      </c>
      <c r="AD49" s="105" t="s">
        <v>347</v>
      </c>
      <c r="AF49" s="320" t="s">
        <v>227</v>
      </c>
      <c r="AG49" s="321"/>
      <c r="AH49" s="104" t="s">
        <v>346</v>
      </c>
      <c r="AI49" s="117" t="s">
        <v>347</v>
      </c>
      <c r="AK49" s="320" t="s">
        <v>227</v>
      </c>
      <c r="AL49" s="321"/>
      <c r="AM49" s="104" t="s">
        <v>346</v>
      </c>
      <c r="AN49" s="117" t="s">
        <v>347</v>
      </c>
    </row>
    <row r="50" spans="2:40" s="301" customFormat="1" ht="12.75">
      <c r="B50" s="348" t="s">
        <v>257</v>
      </c>
      <c r="C50" s="326"/>
      <c r="D50" s="452"/>
      <c r="E50" s="453"/>
      <c r="G50" s="596"/>
      <c r="H50" s="331"/>
      <c r="I50" s="454"/>
      <c r="J50" s="455"/>
      <c r="L50" s="348" t="s">
        <v>259</v>
      </c>
      <c r="M50" s="331"/>
      <c r="N50" s="454"/>
      <c r="O50" s="453"/>
      <c r="Q50" s="348" t="s">
        <v>257</v>
      </c>
      <c r="R50" s="331"/>
      <c r="S50" s="452"/>
      <c r="T50" s="455"/>
      <c r="V50" s="336" t="s">
        <v>260</v>
      </c>
      <c r="W50" s="331"/>
      <c r="X50" s="458">
        <v>15.96</v>
      </c>
      <c r="Y50" s="459">
        <f aca="true" t="shared" si="15" ref="Y50:Y60">Y239</f>
        <v>2711550.16533849</v>
      </c>
      <c r="AA50" s="348" t="s">
        <v>257</v>
      </c>
      <c r="AB50" s="331"/>
      <c r="AC50" s="452"/>
      <c r="AD50" s="460"/>
      <c r="AF50" s="348" t="s">
        <v>258</v>
      </c>
      <c r="AG50" s="331"/>
      <c r="AH50" s="456">
        <v>6.24</v>
      </c>
      <c r="AI50" s="457">
        <f aca="true" t="shared" si="16" ref="AI50:AI56">AI239</f>
        <v>562227.8859649124</v>
      </c>
      <c r="AK50" s="348" t="s">
        <v>351</v>
      </c>
      <c r="AL50" s="331"/>
      <c r="AM50" s="461">
        <v>5073.28</v>
      </c>
      <c r="AN50" s="462">
        <f aca="true" t="shared" si="17" ref="AN50:AN66">AN239</f>
        <v>28.81530098849528</v>
      </c>
    </row>
    <row r="51" spans="2:40" s="301" customFormat="1" ht="12.75">
      <c r="B51" s="348" t="s">
        <v>206</v>
      </c>
      <c r="C51" s="338"/>
      <c r="D51" s="463"/>
      <c r="E51" s="464"/>
      <c r="G51" s="330" t="s">
        <v>206</v>
      </c>
      <c r="H51" s="344"/>
      <c r="I51" s="465"/>
      <c r="J51" s="466"/>
      <c r="L51" s="348" t="s">
        <v>263</v>
      </c>
      <c r="M51" s="344"/>
      <c r="N51" s="465"/>
      <c r="O51" s="464"/>
      <c r="Q51" s="348" t="s">
        <v>206</v>
      </c>
      <c r="R51" s="344"/>
      <c r="S51" s="463"/>
      <c r="T51" s="466"/>
      <c r="V51" s="348" t="s">
        <v>264</v>
      </c>
      <c r="W51" s="344"/>
      <c r="X51" s="467">
        <v>24.6</v>
      </c>
      <c r="Y51" s="468">
        <f t="shared" si="15"/>
        <v>73890.3861263407</v>
      </c>
      <c r="AA51" s="348" t="s">
        <v>206</v>
      </c>
      <c r="AB51" s="344"/>
      <c r="AC51" s="463"/>
      <c r="AD51" s="469"/>
      <c r="AF51" s="348" t="s">
        <v>262</v>
      </c>
      <c r="AG51" s="344"/>
      <c r="AH51" s="393">
        <v>16.56</v>
      </c>
      <c r="AI51" s="444">
        <f t="shared" si="16"/>
        <v>1838374.64358108</v>
      </c>
      <c r="AK51" s="348" t="s">
        <v>352</v>
      </c>
      <c r="AL51" s="344"/>
      <c r="AM51" s="350">
        <v>1666.93</v>
      </c>
      <c r="AN51" s="441">
        <f t="shared" si="17"/>
        <v>235.9948494171534</v>
      </c>
    </row>
    <row r="52" spans="2:40" s="301" customFormat="1" ht="12.75">
      <c r="B52" s="348" t="s">
        <v>266</v>
      </c>
      <c r="C52" s="338"/>
      <c r="D52" s="463"/>
      <c r="E52" s="464"/>
      <c r="G52" s="330" t="s">
        <v>267</v>
      </c>
      <c r="H52" s="344"/>
      <c r="I52" s="470">
        <v>6097.2</v>
      </c>
      <c r="J52" s="471">
        <f>J241</f>
        <v>10</v>
      </c>
      <c r="L52" s="348" t="s">
        <v>269</v>
      </c>
      <c r="M52" s="344"/>
      <c r="N52" s="472">
        <v>1763</v>
      </c>
      <c r="O52" s="471">
        <f aca="true" t="shared" si="18" ref="O52:O61">O241</f>
        <v>186.28092432175154</v>
      </c>
      <c r="Q52" s="348" t="s">
        <v>266</v>
      </c>
      <c r="R52" s="344"/>
      <c r="S52" s="473">
        <v>5167.12</v>
      </c>
      <c r="T52" s="471">
        <f aca="true" t="shared" si="19" ref="T52:T61">T241</f>
        <v>0.9977530269984856</v>
      </c>
      <c r="V52" s="348" t="s">
        <v>270</v>
      </c>
      <c r="W52" s="344"/>
      <c r="X52" s="467">
        <v>29.88</v>
      </c>
      <c r="Y52" s="468">
        <f t="shared" si="15"/>
        <v>38003.2476445204</v>
      </c>
      <c r="AA52" s="348" t="s">
        <v>266</v>
      </c>
      <c r="AB52" s="344"/>
      <c r="AC52" s="463"/>
      <c r="AD52" s="469"/>
      <c r="AF52" s="348" t="s">
        <v>268</v>
      </c>
      <c r="AG52" s="344"/>
      <c r="AH52" s="378">
        <v>32.88</v>
      </c>
      <c r="AI52" s="443">
        <f t="shared" si="16"/>
        <v>79147.4470198675</v>
      </c>
      <c r="AK52" s="348" t="s">
        <v>271</v>
      </c>
      <c r="AL52" s="344"/>
      <c r="AM52" s="350">
        <v>645.02</v>
      </c>
      <c r="AN52" s="441">
        <f t="shared" si="17"/>
        <v>5.936600028941011</v>
      </c>
    </row>
    <row r="53" spans="2:40" s="301" customFormat="1" ht="12.75">
      <c r="B53" s="348" t="s">
        <v>272</v>
      </c>
      <c r="C53" s="338"/>
      <c r="D53" s="463"/>
      <c r="E53" s="464"/>
      <c r="G53" s="330" t="s">
        <v>272</v>
      </c>
      <c r="H53" s="344"/>
      <c r="I53" s="474"/>
      <c r="J53" s="466"/>
      <c r="L53" s="348" t="s">
        <v>274</v>
      </c>
      <c r="M53" s="344"/>
      <c r="N53" s="472">
        <v>1519</v>
      </c>
      <c r="O53" s="471">
        <f t="shared" si="18"/>
        <v>646.2193114119923</v>
      </c>
      <c r="Q53" s="348" t="s">
        <v>275</v>
      </c>
      <c r="R53" s="344"/>
      <c r="S53" s="473">
        <v>1788.65</v>
      </c>
      <c r="T53" s="471">
        <f t="shared" si="19"/>
        <v>3.9909491567771394</v>
      </c>
      <c r="V53" s="348" t="s">
        <v>276</v>
      </c>
      <c r="W53" s="344"/>
      <c r="X53" s="475">
        <v>106.92</v>
      </c>
      <c r="Y53" s="476">
        <f t="shared" si="15"/>
        <v>7832.886361111109</v>
      </c>
      <c r="AA53" s="348" t="s">
        <v>277</v>
      </c>
      <c r="AB53" s="344"/>
      <c r="AC53" s="350">
        <v>1342.5</v>
      </c>
      <c r="AD53" s="441">
        <f aca="true" t="shared" si="20" ref="AD53:AD61">AD242</f>
        <v>1</v>
      </c>
      <c r="AF53" s="348" t="s">
        <v>273</v>
      </c>
      <c r="AG53" s="344"/>
      <c r="AH53" s="358">
        <v>46.8</v>
      </c>
      <c r="AI53" s="442">
        <f t="shared" si="16"/>
        <v>14040.836240310078</v>
      </c>
      <c r="AK53" s="348" t="s">
        <v>278</v>
      </c>
      <c r="AL53" s="344"/>
      <c r="AM53" s="350">
        <v>553.71</v>
      </c>
      <c r="AN53" s="441">
        <f t="shared" si="17"/>
        <v>112.98220040750883</v>
      </c>
    </row>
    <row r="54" spans="2:40" s="301" customFormat="1" ht="12.75">
      <c r="B54" s="348" t="s">
        <v>279</v>
      </c>
      <c r="C54" s="338"/>
      <c r="D54" s="477">
        <v>404.55</v>
      </c>
      <c r="E54" s="351">
        <f aca="true" t="shared" si="21" ref="E54:E61">E243</f>
        <v>30</v>
      </c>
      <c r="G54" s="348" t="s">
        <v>280</v>
      </c>
      <c r="H54" s="344"/>
      <c r="I54" s="478">
        <v>915.36</v>
      </c>
      <c r="J54" s="351">
        <f aca="true" t="shared" si="22" ref="J54:J60">J243</f>
        <v>400.75000000000006</v>
      </c>
      <c r="L54" s="348" t="s">
        <v>282</v>
      </c>
      <c r="M54" s="344"/>
      <c r="N54" s="419">
        <v>569</v>
      </c>
      <c r="O54" s="351">
        <f t="shared" si="18"/>
        <v>14023.152449822903</v>
      </c>
      <c r="Q54" s="348" t="s">
        <v>353</v>
      </c>
      <c r="R54" s="344"/>
      <c r="S54" s="350">
        <v>581.83</v>
      </c>
      <c r="T54" s="351">
        <f t="shared" si="19"/>
        <v>583.941782793161</v>
      </c>
      <c r="V54" s="348" t="s">
        <v>284</v>
      </c>
      <c r="W54" s="344"/>
      <c r="X54" s="475">
        <v>119.88</v>
      </c>
      <c r="Y54" s="476">
        <f t="shared" si="15"/>
        <v>5451.4743055555555</v>
      </c>
      <c r="AA54" s="348" t="s">
        <v>285</v>
      </c>
      <c r="AB54" s="344"/>
      <c r="AC54" s="350">
        <v>452.45</v>
      </c>
      <c r="AD54" s="441">
        <f t="shared" si="20"/>
        <v>17.73</v>
      </c>
      <c r="AF54" s="348" t="s">
        <v>281</v>
      </c>
      <c r="AG54" s="344"/>
      <c r="AH54" s="350">
        <v>423.96</v>
      </c>
      <c r="AI54" s="441">
        <f t="shared" si="16"/>
        <v>4662.826823590274</v>
      </c>
      <c r="AK54" s="348" t="s">
        <v>286</v>
      </c>
      <c r="AL54" s="344"/>
      <c r="AM54" s="358">
        <v>369.62</v>
      </c>
      <c r="AN54" s="442">
        <f t="shared" si="17"/>
        <v>148.87421450546802</v>
      </c>
    </row>
    <row r="55" spans="2:40" s="301" customFormat="1" ht="12.75">
      <c r="B55" s="348" t="s">
        <v>287</v>
      </c>
      <c r="C55" s="338"/>
      <c r="D55" s="479">
        <v>353.69</v>
      </c>
      <c r="E55" s="480">
        <f t="shared" si="21"/>
        <v>209</v>
      </c>
      <c r="G55" s="348" t="s">
        <v>288</v>
      </c>
      <c r="H55" s="344"/>
      <c r="I55" s="422">
        <v>132.48</v>
      </c>
      <c r="J55" s="359">
        <f t="shared" si="22"/>
        <v>1444.9166666666665</v>
      </c>
      <c r="L55" s="348" t="s">
        <v>290</v>
      </c>
      <c r="M55" s="344"/>
      <c r="N55" s="422">
        <v>143</v>
      </c>
      <c r="O55" s="359">
        <f t="shared" si="18"/>
        <v>12070.145313782992</v>
      </c>
      <c r="Q55" s="348" t="s">
        <v>354</v>
      </c>
      <c r="R55" s="344"/>
      <c r="S55" s="358">
        <v>202.37</v>
      </c>
      <c r="T55" s="359">
        <f t="shared" si="19"/>
        <v>657.6231129856694</v>
      </c>
      <c r="V55" s="348" t="s">
        <v>292</v>
      </c>
      <c r="W55" s="344"/>
      <c r="X55" s="475">
        <v>492</v>
      </c>
      <c r="Y55" s="476">
        <f t="shared" si="15"/>
        <v>10245.43610191994</v>
      </c>
      <c r="AA55" s="348" t="s">
        <v>293</v>
      </c>
      <c r="AB55" s="344"/>
      <c r="AC55" s="358">
        <v>153.45</v>
      </c>
      <c r="AD55" s="442">
        <f t="shared" si="20"/>
        <v>134.06</v>
      </c>
      <c r="AF55" s="348" t="s">
        <v>289</v>
      </c>
      <c r="AG55" s="344"/>
      <c r="AH55" s="350">
        <v>1014.36</v>
      </c>
      <c r="AI55" s="441">
        <f t="shared" si="16"/>
        <v>36.31323343054543</v>
      </c>
      <c r="AK55" s="348" t="s">
        <v>294</v>
      </c>
      <c r="AL55" s="344"/>
      <c r="AM55" s="358">
        <v>182.64</v>
      </c>
      <c r="AN55" s="442">
        <f t="shared" si="17"/>
        <v>86.12359740245829</v>
      </c>
    </row>
    <row r="56" spans="2:40" s="301" customFormat="1" ht="12.75">
      <c r="B56" s="348" t="s">
        <v>295</v>
      </c>
      <c r="C56" s="338"/>
      <c r="D56" s="479">
        <v>17.7</v>
      </c>
      <c r="E56" s="480">
        <f t="shared" si="21"/>
        <v>305</v>
      </c>
      <c r="G56" s="348" t="s">
        <v>296</v>
      </c>
      <c r="H56" s="344"/>
      <c r="I56" s="422">
        <v>31.56</v>
      </c>
      <c r="J56" s="359">
        <f t="shared" si="22"/>
        <v>352.4166666666667</v>
      </c>
      <c r="L56" s="348" t="s">
        <v>299</v>
      </c>
      <c r="M56" s="344"/>
      <c r="N56" s="422">
        <v>143</v>
      </c>
      <c r="O56" s="359">
        <f t="shared" si="18"/>
        <v>0</v>
      </c>
      <c r="Q56" s="348" t="s">
        <v>298</v>
      </c>
      <c r="R56" s="344"/>
      <c r="S56" s="358">
        <v>0</v>
      </c>
      <c r="T56" s="359">
        <f t="shared" si="19"/>
        <v>0</v>
      </c>
      <c r="V56" s="348" t="s">
        <v>300</v>
      </c>
      <c r="W56" s="363"/>
      <c r="X56" s="482">
        <v>912</v>
      </c>
      <c r="Y56" s="483">
        <f t="shared" si="15"/>
        <v>211.97719791666663</v>
      </c>
      <c r="AA56" s="348" t="s">
        <v>301</v>
      </c>
      <c r="AB56" s="344"/>
      <c r="AC56" s="358">
        <v>34.8</v>
      </c>
      <c r="AD56" s="442">
        <f t="shared" si="20"/>
        <v>122.1</v>
      </c>
      <c r="AF56" s="348" t="s">
        <v>297</v>
      </c>
      <c r="AG56" s="344"/>
      <c r="AH56" s="473">
        <v>5766</v>
      </c>
      <c r="AI56" s="481">
        <f t="shared" si="16"/>
        <v>155.4660306245226</v>
      </c>
      <c r="AK56" s="348" t="s">
        <v>302</v>
      </c>
      <c r="AL56" s="344"/>
      <c r="AM56" s="358">
        <v>182.64</v>
      </c>
      <c r="AN56" s="442">
        <f t="shared" si="17"/>
        <v>5.339471834805381</v>
      </c>
    </row>
    <row r="57" spans="2:40" s="301" customFormat="1" ht="12.75">
      <c r="B57" s="348" t="s">
        <v>303</v>
      </c>
      <c r="C57" s="338"/>
      <c r="D57" s="484">
        <v>14.75</v>
      </c>
      <c r="E57" s="485">
        <f t="shared" si="21"/>
        <v>1179</v>
      </c>
      <c r="G57" s="348" t="s">
        <v>304</v>
      </c>
      <c r="H57" s="344"/>
      <c r="I57" s="428">
        <v>31.56</v>
      </c>
      <c r="J57" s="379">
        <f t="shared" si="22"/>
        <v>0</v>
      </c>
      <c r="L57" s="348" t="s">
        <v>305</v>
      </c>
      <c r="M57" s="344"/>
      <c r="N57" s="428">
        <v>30.1</v>
      </c>
      <c r="O57" s="379">
        <f t="shared" si="18"/>
        <v>121967.800299048</v>
      </c>
      <c r="Q57" s="348" t="s">
        <v>355</v>
      </c>
      <c r="R57" s="344"/>
      <c r="S57" s="378">
        <v>13.47</v>
      </c>
      <c r="T57" s="379">
        <f t="shared" si="19"/>
        <v>0</v>
      </c>
      <c r="V57" s="348" t="s">
        <v>307</v>
      </c>
      <c r="W57" s="344"/>
      <c r="X57" s="482">
        <v>1452</v>
      </c>
      <c r="Y57" s="483">
        <f t="shared" si="15"/>
        <v>2141.3891493055535</v>
      </c>
      <c r="AA57" s="348" t="s">
        <v>308</v>
      </c>
      <c r="AB57" s="344"/>
      <c r="AC57" s="378">
        <v>34.8</v>
      </c>
      <c r="AD57" s="443">
        <f t="shared" si="20"/>
        <v>1178</v>
      </c>
      <c r="AF57" s="369"/>
      <c r="AG57" s="370"/>
      <c r="AH57" s="375"/>
      <c r="AI57" s="375"/>
      <c r="AK57" s="348" t="s">
        <v>309</v>
      </c>
      <c r="AL57" s="344"/>
      <c r="AM57" s="358">
        <v>139.15</v>
      </c>
      <c r="AN57" s="442">
        <f t="shared" si="17"/>
        <v>16.471322691041664</v>
      </c>
    </row>
    <row r="58" spans="2:40" s="301" customFormat="1" ht="12.75">
      <c r="B58" s="348" t="s">
        <v>310</v>
      </c>
      <c r="C58" s="338"/>
      <c r="D58" s="484">
        <v>14.75</v>
      </c>
      <c r="E58" s="485">
        <f t="shared" si="21"/>
        <v>410</v>
      </c>
      <c r="G58" s="348" t="s">
        <v>311</v>
      </c>
      <c r="H58" s="344"/>
      <c r="I58" s="428">
        <v>31.56</v>
      </c>
      <c r="J58" s="379">
        <f t="shared" si="22"/>
        <v>7152.08316685507</v>
      </c>
      <c r="L58" s="348" t="s">
        <v>312</v>
      </c>
      <c r="M58" s="344"/>
      <c r="N58" s="428">
        <v>30.1</v>
      </c>
      <c r="O58" s="379">
        <f t="shared" si="18"/>
        <v>0</v>
      </c>
      <c r="Q58" s="348" t="s">
        <v>356</v>
      </c>
      <c r="R58" s="344"/>
      <c r="S58" s="378">
        <v>13.47</v>
      </c>
      <c r="T58" s="379">
        <f t="shared" si="19"/>
        <v>3375.00810764053</v>
      </c>
      <c r="V58" s="348" t="s">
        <v>314</v>
      </c>
      <c r="W58" s="344"/>
      <c r="X58" s="487">
        <v>6420</v>
      </c>
      <c r="Y58" s="488">
        <f t="shared" si="15"/>
        <v>129.0146076388889</v>
      </c>
      <c r="AA58" s="348" t="s">
        <v>315</v>
      </c>
      <c r="AB58" s="344"/>
      <c r="AC58" s="378">
        <v>0</v>
      </c>
      <c r="AD58" s="443">
        <f t="shared" si="20"/>
        <v>0</v>
      </c>
      <c r="AI58" s="486"/>
      <c r="AK58" s="348" t="s">
        <v>317</v>
      </c>
      <c r="AL58" s="344"/>
      <c r="AM58" s="358">
        <v>139.15</v>
      </c>
      <c r="AN58" s="442">
        <f t="shared" si="17"/>
        <v>144.68208137852696</v>
      </c>
    </row>
    <row r="59" spans="2:40" s="301" customFormat="1" ht="12.75">
      <c r="B59" s="348" t="s">
        <v>318</v>
      </c>
      <c r="C59" s="338"/>
      <c r="D59" s="489">
        <v>14.75</v>
      </c>
      <c r="E59" s="490">
        <f t="shared" si="21"/>
        <v>31654</v>
      </c>
      <c r="G59" s="348" t="s">
        <v>319</v>
      </c>
      <c r="H59" s="344"/>
      <c r="I59" s="430">
        <v>19.2</v>
      </c>
      <c r="J59" s="394">
        <f t="shared" si="22"/>
        <v>0</v>
      </c>
      <c r="L59" s="348" t="s">
        <v>320</v>
      </c>
      <c r="M59" s="344"/>
      <c r="N59" s="430">
        <v>26.4</v>
      </c>
      <c r="O59" s="394">
        <f t="shared" si="18"/>
        <v>2407244.50042371</v>
      </c>
      <c r="Q59" s="348" t="s">
        <v>357</v>
      </c>
      <c r="R59" s="344"/>
      <c r="S59" s="393">
        <v>13.47</v>
      </c>
      <c r="T59" s="394">
        <f t="shared" si="19"/>
        <v>0</v>
      </c>
      <c r="V59" s="348" t="s">
        <v>322</v>
      </c>
      <c r="W59" s="344"/>
      <c r="X59" s="487">
        <v>9336</v>
      </c>
      <c r="Y59" s="488">
        <f t="shared" si="15"/>
        <v>63.974839403749996</v>
      </c>
      <c r="AA59" s="348" t="s">
        <v>323</v>
      </c>
      <c r="AB59" s="344"/>
      <c r="AC59" s="393">
        <v>21.46</v>
      </c>
      <c r="AD59" s="444">
        <f t="shared" si="20"/>
        <v>19529</v>
      </c>
      <c r="AK59" s="348" t="s">
        <v>324</v>
      </c>
      <c r="AL59" s="344"/>
      <c r="AM59" s="358">
        <v>134.35</v>
      </c>
      <c r="AN59" s="442">
        <f t="shared" si="17"/>
        <v>87.92818266925963</v>
      </c>
    </row>
    <row r="60" spans="2:40" s="301" customFormat="1" ht="12.75">
      <c r="B60" s="348" t="s">
        <v>325</v>
      </c>
      <c r="C60" s="338"/>
      <c r="D60" s="489">
        <v>14.75</v>
      </c>
      <c r="E60" s="490">
        <f t="shared" si="21"/>
        <v>18710</v>
      </c>
      <c r="G60" s="348" t="s">
        <v>326</v>
      </c>
      <c r="H60" s="344"/>
      <c r="I60" s="430">
        <v>19.2</v>
      </c>
      <c r="J60" s="394">
        <f t="shared" si="22"/>
        <v>195378.583499812</v>
      </c>
      <c r="L60" s="348" t="s">
        <v>327</v>
      </c>
      <c r="M60" s="344"/>
      <c r="N60" s="430">
        <v>26.4</v>
      </c>
      <c r="O60" s="394">
        <f t="shared" si="18"/>
        <v>0</v>
      </c>
      <c r="Q60" s="348" t="s">
        <v>358</v>
      </c>
      <c r="R60" s="344"/>
      <c r="S60" s="393">
        <v>13.47</v>
      </c>
      <c r="T60" s="394">
        <f t="shared" si="19"/>
        <v>99272.0752223584</v>
      </c>
      <c r="V60" s="348" t="s">
        <v>329</v>
      </c>
      <c r="W60" s="344"/>
      <c r="X60" s="491">
        <v>7.8</v>
      </c>
      <c r="Y60" s="492">
        <f t="shared" si="15"/>
        <v>772155.8848441471</v>
      </c>
      <c r="AA60" s="348" t="s">
        <v>330</v>
      </c>
      <c r="AB60" s="344"/>
      <c r="AC60" s="393">
        <v>21.46</v>
      </c>
      <c r="AD60" s="444">
        <f t="shared" si="20"/>
        <v>10175</v>
      </c>
      <c r="AK60" s="348" t="s">
        <v>331</v>
      </c>
      <c r="AL60" s="344"/>
      <c r="AM60" s="358">
        <v>126.4</v>
      </c>
      <c r="AN60" s="442">
        <f t="shared" si="17"/>
        <v>501.9442954403272</v>
      </c>
    </row>
    <row r="61" spans="2:40" s="301" customFormat="1" ht="12.75">
      <c r="B61" s="348" t="s">
        <v>332</v>
      </c>
      <c r="C61" s="338"/>
      <c r="D61" s="493">
        <v>5.16</v>
      </c>
      <c r="E61" s="494">
        <f t="shared" si="21"/>
        <v>22611</v>
      </c>
      <c r="G61" s="348" t="s">
        <v>333</v>
      </c>
      <c r="H61" s="344"/>
      <c r="I61" s="436">
        <v>1.92</v>
      </c>
      <c r="J61" s="399">
        <f>J250</f>
        <v>84946</v>
      </c>
      <c r="L61" s="348" t="s">
        <v>334</v>
      </c>
      <c r="M61" s="344"/>
      <c r="N61" s="436">
        <v>3.26</v>
      </c>
      <c r="O61" s="399">
        <f t="shared" si="18"/>
        <v>1062638.4827764828</v>
      </c>
      <c r="Q61" s="348" t="s">
        <v>335</v>
      </c>
      <c r="R61" s="344"/>
      <c r="S61" s="435">
        <v>6.23</v>
      </c>
      <c r="T61" s="399">
        <f t="shared" si="19"/>
        <v>44297.611249095964</v>
      </c>
      <c r="V61" s="369"/>
      <c r="W61" s="370"/>
      <c r="X61" s="377"/>
      <c r="Y61" s="376"/>
      <c r="AA61" s="348" t="s">
        <v>336</v>
      </c>
      <c r="AB61" s="344"/>
      <c r="AC61" s="398">
        <v>10.6</v>
      </c>
      <c r="AD61" s="495">
        <f t="shared" si="20"/>
        <v>18103</v>
      </c>
      <c r="AK61" s="348" t="s">
        <v>337</v>
      </c>
      <c r="AL61" s="344"/>
      <c r="AM61" s="378">
        <v>50.87</v>
      </c>
      <c r="AN61" s="443">
        <f t="shared" si="17"/>
        <v>627.099171029286</v>
      </c>
    </row>
    <row r="62" spans="2:40" s="301" customFormat="1" ht="12.75">
      <c r="B62" s="369"/>
      <c r="C62" s="370"/>
      <c r="D62" s="496"/>
      <c r="E62" s="371"/>
      <c r="G62" s="369"/>
      <c r="H62" s="370"/>
      <c r="I62" s="371"/>
      <c r="J62" s="497"/>
      <c r="L62" s="369"/>
      <c r="M62" s="370"/>
      <c r="N62" s="371"/>
      <c r="O62" s="497"/>
      <c r="Q62" s="369"/>
      <c r="R62" s="370"/>
      <c r="S62" s="371"/>
      <c r="T62" s="371"/>
      <c r="AA62" s="369"/>
      <c r="AB62" s="370"/>
      <c r="AC62" s="375"/>
      <c r="AD62" s="426"/>
      <c r="AK62" s="330" t="s">
        <v>338</v>
      </c>
      <c r="AL62" s="363"/>
      <c r="AM62" s="378">
        <v>50.87</v>
      </c>
      <c r="AN62" s="443">
        <f t="shared" si="17"/>
        <v>660.471281247241</v>
      </c>
    </row>
    <row r="63" spans="7:40" ht="12.75">
      <c r="G63" s="341"/>
      <c r="L63" s="341"/>
      <c r="Q63" s="301"/>
      <c r="AK63" s="330" t="s">
        <v>339</v>
      </c>
      <c r="AL63" s="363"/>
      <c r="AM63" s="378">
        <v>50.87</v>
      </c>
      <c r="AN63" s="443">
        <f t="shared" si="17"/>
        <v>825.37829315682</v>
      </c>
    </row>
    <row r="64" spans="7:40" ht="12.75">
      <c r="G64" s="341"/>
      <c r="Q64" s="392"/>
      <c r="AK64" s="330" t="s">
        <v>340</v>
      </c>
      <c r="AL64" s="363"/>
      <c r="AM64" s="378">
        <v>15.09</v>
      </c>
      <c r="AN64" s="443">
        <f t="shared" si="17"/>
        <v>1552.82545701789</v>
      </c>
    </row>
    <row r="65" spans="37:40" ht="12.75">
      <c r="AK65" s="330" t="s">
        <v>342</v>
      </c>
      <c r="AL65" s="363"/>
      <c r="AM65" s="393">
        <v>13.5</v>
      </c>
      <c r="AN65" s="444">
        <f t="shared" si="17"/>
        <v>48234.725703994</v>
      </c>
    </row>
    <row r="66" spans="37:40" ht="12.75">
      <c r="AK66" s="330" t="s">
        <v>344</v>
      </c>
      <c r="AL66" s="363"/>
      <c r="AM66" s="398">
        <v>2.54</v>
      </c>
      <c r="AN66" s="495">
        <f t="shared" si="17"/>
        <v>24409.2761343099</v>
      </c>
    </row>
    <row r="67" spans="37:40" ht="12.75">
      <c r="AK67" s="369"/>
      <c r="AL67" s="370"/>
      <c r="AM67" s="375"/>
      <c r="AN67" s="375"/>
    </row>
    <row r="68" spans="1:40" s="301" customFormat="1" ht="12.75">
      <c r="A68" s="189"/>
      <c r="B68" s="402" t="s">
        <v>381</v>
      </c>
      <c r="C68" s="383"/>
      <c r="D68" s="403">
        <f>SUMPRODUCT(D50:D66,E50:E66)</f>
        <v>974435.72</v>
      </c>
      <c r="G68" s="402" t="s">
        <v>381</v>
      </c>
      <c r="H68" s="383"/>
      <c r="I68" s="403">
        <f>SUMPRODUCT(I50:I66,J50:J66)</f>
        <v>4770432.217942337</v>
      </c>
      <c r="L68" s="402" t="s">
        <v>381</v>
      </c>
      <c r="M68" s="383"/>
      <c r="N68" s="403">
        <f>SUMPRODUCT(N50:N66,O50:O66)</f>
        <v>81701911.98147286</v>
      </c>
      <c r="Q68" s="402" t="s">
        <v>381</v>
      </c>
      <c r="R68" s="383"/>
      <c r="S68" s="403">
        <f>SUMPRODUCT(S50:S66,T50:T66)</f>
        <v>2143762.288224542</v>
      </c>
      <c r="V68" s="402" t="s">
        <v>381</v>
      </c>
      <c r="W68" s="383"/>
      <c r="X68" s="403">
        <f>SUMPRODUCT(X50:X66,Y50:Y66)</f>
        <v>63512329.721544236</v>
      </c>
      <c r="AA68" s="402" t="s">
        <v>381</v>
      </c>
      <c r="AB68" s="383"/>
      <c r="AC68" s="403">
        <f>SUMPRODUCT(AC50:AC66,AD50:AD66)</f>
        <v>904519.0655</v>
      </c>
      <c r="AF68" s="402" t="s">
        <v>381</v>
      </c>
      <c r="AG68" s="383"/>
      <c r="AH68" s="403">
        <f>SUMPRODUCT(AH50:AH66,AI50:AI66)</f>
        <v>40121369.18435643</v>
      </c>
      <c r="AK68" s="402" t="s">
        <v>381</v>
      </c>
      <c r="AL68" s="383"/>
      <c r="AM68" s="403">
        <f>SUMPRODUCT(AM50:AM66,AN50:AN66)</f>
        <v>1619464.8902803764</v>
      </c>
      <c r="AN68" s="404"/>
    </row>
    <row r="69" spans="1:40" s="301" customFormat="1" ht="12.75">
      <c r="A69" s="189"/>
      <c r="B69" s="498"/>
      <c r="C69" s="169"/>
      <c r="D69" s="499"/>
      <c r="G69" s="498"/>
      <c r="H69" s="169"/>
      <c r="I69" s="499"/>
      <c r="L69" s="498"/>
      <c r="M69" s="169"/>
      <c r="N69" s="499"/>
      <c r="Q69" s="498"/>
      <c r="R69" s="169"/>
      <c r="S69" s="499"/>
      <c r="V69" s="498"/>
      <c r="W69" s="169"/>
      <c r="X69" s="499"/>
      <c r="AA69" s="498"/>
      <c r="AB69" s="169"/>
      <c r="AC69" s="499"/>
      <c r="AF69" s="498"/>
      <c r="AG69" s="169"/>
      <c r="AH69" s="499"/>
      <c r="AK69" s="498"/>
      <c r="AL69" s="169"/>
      <c r="AM69" s="499"/>
      <c r="AN69" s="404"/>
    </row>
    <row r="70" spans="1:40" s="301" customFormat="1" ht="12.75">
      <c r="A70" s="189"/>
      <c r="B70" s="320" t="s">
        <v>37</v>
      </c>
      <c r="C70" s="321"/>
      <c r="D70" s="320" t="s">
        <v>346</v>
      </c>
      <c r="E70" s="500" t="s">
        <v>347</v>
      </c>
      <c r="F70" s="106"/>
      <c r="G70" s="320" t="s">
        <v>37</v>
      </c>
      <c r="H70" s="321"/>
      <c r="I70" s="320" t="s">
        <v>346</v>
      </c>
      <c r="J70" s="500" t="s">
        <v>347</v>
      </c>
      <c r="K70" s="106"/>
      <c r="L70" s="320" t="s">
        <v>37</v>
      </c>
      <c r="M70" s="321"/>
      <c r="N70" s="320" t="s">
        <v>346</v>
      </c>
      <c r="O70" s="500" t="s">
        <v>347</v>
      </c>
      <c r="P70" s="106"/>
      <c r="Q70" s="320" t="s">
        <v>37</v>
      </c>
      <c r="R70" s="321"/>
      <c r="S70" s="320" t="s">
        <v>346</v>
      </c>
      <c r="T70" s="500" t="s">
        <v>347</v>
      </c>
      <c r="U70" s="106"/>
      <c r="V70" s="320" t="s">
        <v>37</v>
      </c>
      <c r="W70" s="321"/>
      <c r="X70" s="320" t="s">
        <v>346</v>
      </c>
      <c r="Y70" s="500" t="s">
        <v>347</v>
      </c>
      <c r="Z70" s="106"/>
      <c r="AA70" s="320" t="s">
        <v>37</v>
      </c>
      <c r="AB70" s="321"/>
      <c r="AC70" s="320" t="s">
        <v>346</v>
      </c>
      <c r="AD70" s="500" t="s">
        <v>347</v>
      </c>
      <c r="AF70" s="320" t="s">
        <v>37</v>
      </c>
      <c r="AG70" s="321"/>
      <c r="AH70" s="320" t="s">
        <v>346</v>
      </c>
      <c r="AI70" s="500" t="s">
        <v>347</v>
      </c>
      <c r="AJ70" s="106"/>
      <c r="AK70" s="320" t="s">
        <v>37</v>
      </c>
      <c r="AL70" s="321"/>
      <c r="AM70" s="320" t="s">
        <v>346</v>
      </c>
      <c r="AN70" s="500" t="s">
        <v>347</v>
      </c>
    </row>
    <row r="71" spans="1:40" s="301" customFormat="1" ht="12.75">
      <c r="A71" s="189"/>
      <c r="B71" s="325"/>
      <c r="C71" s="501"/>
      <c r="D71" s="502"/>
      <c r="E71" s="502"/>
      <c r="F71" s="503"/>
      <c r="G71" s="325" t="s">
        <v>36</v>
      </c>
      <c r="H71" s="501"/>
      <c r="I71" s="502">
        <v>1.47</v>
      </c>
      <c r="J71" s="640">
        <v>146306</v>
      </c>
      <c r="K71" s="503"/>
      <c r="L71" s="233" t="s">
        <v>38</v>
      </c>
      <c r="M71" s="501"/>
      <c r="N71" s="502">
        <v>2.4</v>
      </c>
      <c r="O71" s="638">
        <v>95345.90274841437</v>
      </c>
      <c r="P71" s="503"/>
      <c r="Q71" s="325" t="s">
        <v>36</v>
      </c>
      <c r="R71" s="501"/>
      <c r="S71" s="502">
        <v>2.86</v>
      </c>
      <c r="T71" s="640">
        <v>2834.9933333333333</v>
      </c>
      <c r="U71" s="503"/>
      <c r="V71" s="325" t="s">
        <v>36</v>
      </c>
      <c r="W71" s="501"/>
      <c r="X71" s="502">
        <v>1.44</v>
      </c>
      <c r="Y71" s="640">
        <v>766153.7973478092</v>
      </c>
      <c r="Z71" s="503"/>
      <c r="AA71" s="325" t="s">
        <v>36</v>
      </c>
      <c r="AB71" s="501"/>
      <c r="AC71" s="502">
        <v>11.45</v>
      </c>
      <c r="AD71" s="640">
        <v>5615</v>
      </c>
      <c r="AF71" s="325" t="s">
        <v>36</v>
      </c>
      <c r="AG71" s="501"/>
      <c r="AH71" s="502">
        <v>5.28</v>
      </c>
      <c r="AI71" s="640">
        <v>105135.99291762552</v>
      </c>
      <c r="AJ71" s="503"/>
      <c r="AK71" s="325" t="s">
        <v>36</v>
      </c>
      <c r="AL71" s="501"/>
      <c r="AM71" s="502">
        <v>3.76</v>
      </c>
      <c r="AN71" s="640">
        <v>2300</v>
      </c>
    </row>
    <row r="72" spans="1:40" s="301" customFormat="1" ht="12.75">
      <c r="A72" s="189"/>
      <c r="B72" s="505"/>
      <c r="C72" s="506"/>
      <c r="D72" s="507"/>
      <c r="E72" s="507"/>
      <c r="F72" s="503"/>
      <c r="G72" s="505"/>
      <c r="H72" s="506"/>
      <c r="I72" s="507"/>
      <c r="J72" s="507"/>
      <c r="K72" s="503"/>
      <c r="L72" s="234" t="s">
        <v>39</v>
      </c>
      <c r="M72" s="506"/>
      <c r="N72" s="507">
        <v>2</v>
      </c>
      <c r="O72" s="639">
        <v>105494.5803237858</v>
      </c>
      <c r="P72" s="503"/>
      <c r="Q72" s="505"/>
      <c r="R72" s="506"/>
      <c r="S72" s="507"/>
      <c r="T72" s="507"/>
      <c r="U72" s="503"/>
      <c r="V72" s="505"/>
      <c r="W72" s="506"/>
      <c r="X72" s="507"/>
      <c r="Y72" s="507"/>
      <c r="Z72" s="503"/>
      <c r="AA72" s="505"/>
      <c r="AB72" s="506"/>
      <c r="AC72" s="507"/>
      <c r="AD72" s="507"/>
      <c r="AF72" s="505"/>
      <c r="AG72" s="506"/>
      <c r="AH72" s="507"/>
      <c r="AI72" s="507"/>
      <c r="AJ72" s="503"/>
      <c r="AK72" s="505"/>
      <c r="AL72" s="506"/>
      <c r="AM72" s="507"/>
      <c r="AN72" s="507"/>
    </row>
    <row r="73" spans="1:40" s="301" customFormat="1" ht="12.75">
      <c r="A73" s="189"/>
      <c r="B73" s="369"/>
      <c r="C73" s="370"/>
      <c r="D73" s="375"/>
      <c r="E73" s="371"/>
      <c r="F73" s="106"/>
      <c r="G73" s="369"/>
      <c r="H73" s="370"/>
      <c r="I73" s="375"/>
      <c r="J73" s="371"/>
      <c r="K73" s="106"/>
      <c r="L73" s="369"/>
      <c r="M73" s="370"/>
      <c r="N73" s="375"/>
      <c r="O73" s="371"/>
      <c r="P73" s="106"/>
      <c r="Q73" s="369"/>
      <c r="R73" s="370"/>
      <c r="S73" s="375"/>
      <c r="T73" s="371"/>
      <c r="U73" s="106"/>
      <c r="V73" s="369"/>
      <c r="W73" s="370"/>
      <c r="X73" s="375"/>
      <c r="Y73" s="371"/>
      <c r="Z73" s="106"/>
      <c r="AA73" s="369"/>
      <c r="AB73" s="370"/>
      <c r="AC73" s="375"/>
      <c r="AD73" s="371"/>
      <c r="AF73" s="369"/>
      <c r="AG73" s="370"/>
      <c r="AH73" s="375"/>
      <c r="AI73" s="371"/>
      <c r="AJ73" s="106"/>
      <c r="AK73" s="369"/>
      <c r="AL73" s="370"/>
      <c r="AM73" s="375"/>
      <c r="AN73" s="371"/>
    </row>
    <row r="74" spans="1:40" s="301" customFormat="1" ht="12.75">
      <c r="A74" s="189"/>
      <c r="B74" s="402" t="s">
        <v>381</v>
      </c>
      <c r="C74" s="383"/>
      <c r="D74" s="403">
        <f>SUMPRODUCT(D71:D72,E71:E72)</f>
        <v>0</v>
      </c>
      <c r="G74" s="402" t="s">
        <v>381</v>
      </c>
      <c r="H74" s="383"/>
      <c r="I74" s="403">
        <f>SUMPRODUCT(I71:I72,J71:J72)</f>
        <v>215069.82</v>
      </c>
      <c r="L74" s="402" t="s">
        <v>381</v>
      </c>
      <c r="M74" s="383"/>
      <c r="N74" s="403">
        <f>SUMPRODUCT(N71:N72,O71:O72)</f>
        <v>439819.3272437661</v>
      </c>
      <c r="Q74" s="402" t="s">
        <v>381</v>
      </c>
      <c r="R74" s="383"/>
      <c r="S74" s="403">
        <f>SUMPRODUCT(S71:S72,T71:T72)</f>
        <v>8108.080933333333</v>
      </c>
      <c r="V74" s="402" t="s">
        <v>381</v>
      </c>
      <c r="W74" s="383"/>
      <c r="X74" s="403">
        <f>SUMPRODUCT(X71:X72,Y71:Y72)</f>
        <v>1103261.4681808453</v>
      </c>
      <c r="AA74" s="402" t="s">
        <v>381</v>
      </c>
      <c r="AB74" s="383"/>
      <c r="AC74" s="403">
        <f>SUMPRODUCT(AC71:AC72,AD71:AD72)</f>
        <v>64291.74999999999</v>
      </c>
      <c r="AF74" s="402" t="s">
        <v>381</v>
      </c>
      <c r="AG74" s="383"/>
      <c r="AH74" s="403">
        <f>SUMPRODUCT(AH71:AH72,AI71:AI72)</f>
        <v>555118.0426050628</v>
      </c>
      <c r="AK74" s="402" t="s">
        <v>381</v>
      </c>
      <c r="AL74" s="383"/>
      <c r="AM74" s="403">
        <f>SUMPRODUCT(AM71:AM72,AN71:AN72)</f>
        <v>8648</v>
      </c>
      <c r="AN74" s="404"/>
    </row>
    <row r="75" spans="1:40" s="301" customFormat="1" ht="12.75">
      <c r="A75" s="318"/>
      <c r="B75" s="498"/>
      <c r="C75" s="169"/>
      <c r="D75" s="499"/>
      <c r="G75" s="498"/>
      <c r="H75" s="169"/>
      <c r="I75" s="499"/>
      <c r="L75" s="498"/>
      <c r="M75" s="169"/>
      <c r="N75" s="499"/>
      <c r="Q75" s="498"/>
      <c r="R75" s="169"/>
      <c r="S75" s="499"/>
      <c r="V75" s="498"/>
      <c r="W75" s="169"/>
      <c r="X75" s="499"/>
      <c r="AA75" s="498"/>
      <c r="AB75" s="169"/>
      <c r="AC75" s="499"/>
      <c r="AF75" s="498"/>
      <c r="AG75" s="169"/>
      <c r="AH75" s="499"/>
      <c r="AK75" s="498"/>
      <c r="AL75" s="169"/>
      <c r="AM75" s="499"/>
      <c r="AN75" s="404"/>
    </row>
    <row r="76" ht="12.75"/>
    <row r="77" spans="2:37" s="301" customFormat="1" ht="12.75">
      <c r="B77" s="103" t="s">
        <v>139</v>
      </c>
      <c r="G77" s="103" t="s">
        <v>58</v>
      </c>
      <c r="L77" s="103" t="s">
        <v>141</v>
      </c>
      <c r="Q77" s="103" t="s">
        <v>388</v>
      </c>
      <c r="V77" s="103" t="s">
        <v>142</v>
      </c>
      <c r="AA77" s="103" t="s">
        <v>143</v>
      </c>
      <c r="AF77" s="103" t="s">
        <v>140</v>
      </c>
      <c r="AK77" s="103" t="s">
        <v>59</v>
      </c>
    </row>
    <row r="78" spans="2:40" s="301" customFormat="1" ht="12.75">
      <c r="B78" s="382"/>
      <c r="C78" s="383"/>
      <c r="D78" s="104" t="s">
        <v>346</v>
      </c>
      <c r="E78" s="105" t="s">
        <v>347</v>
      </c>
      <c r="G78" s="382"/>
      <c r="H78" s="383"/>
      <c r="I78" s="104" t="s">
        <v>346</v>
      </c>
      <c r="J78" s="105" t="s">
        <v>347</v>
      </c>
      <c r="L78" s="382"/>
      <c r="M78" s="383"/>
      <c r="N78" s="104" t="s">
        <v>346</v>
      </c>
      <c r="O78" s="105" t="s">
        <v>347</v>
      </c>
      <c r="Q78" s="382"/>
      <c r="R78" s="383"/>
      <c r="S78" s="104" t="s">
        <v>346</v>
      </c>
      <c r="T78" s="105" t="s">
        <v>347</v>
      </c>
      <c r="V78" s="382"/>
      <c r="W78" s="383"/>
      <c r="X78" s="104" t="s">
        <v>346</v>
      </c>
      <c r="Y78" s="105" t="s">
        <v>347</v>
      </c>
      <c r="AA78" s="382"/>
      <c r="AB78" s="383"/>
      <c r="AC78" s="104" t="s">
        <v>346</v>
      </c>
      <c r="AD78" s="105" t="s">
        <v>347</v>
      </c>
      <c r="AF78" s="382"/>
      <c r="AG78" s="383"/>
      <c r="AH78" s="104" t="s">
        <v>346</v>
      </c>
      <c r="AI78" s="105" t="s">
        <v>347</v>
      </c>
      <c r="AK78" s="382"/>
      <c r="AL78" s="383"/>
      <c r="AM78" s="104" t="s">
        <v>346</v>
      </c>
      <c r="AN78" s="105" t="s">
        <v>347</v>
      </c>
    </row>
    <row r="79" spans="2:40" s="301" customFormat="1" ht="12.75">
      <c r="B79" s="509" t="s">
        <v>348</v>
      </c>
      <c r="C79" s="510"/>
      <c r="D79" s="327">
        <f>D61</f>
        <v>5.16</v>
      </c>
      <c r="E79" s="406">
        <f>E61</f>
        <v>22611</v>
      </c>
      <c r="F79" s="200"/>
      <c r="G79" s="509" t="s">
        <v>348</v>
      </c>
      <c r="H79" s="510"/>
      <c r="I79" s="327">
        <f>I61</f>
        <v>1.92</v>
      </c>
      <c r="J79" s="406">
        <f>J61</f>
        <v>84946</v>
      </c>
      <c r="K79" s="200"/>
      <c r="L79" s="509" t="s">
        <v>348</v>
      </c>
      <c r="M79" s="510"/>
      <c r="N79" s="327">
        <f>N61</f>
        <v>3.26</v>
      </c>
      <c r="O79" s="406">
        <f>O61</f>
        <v>1062638.4827764828</v>
      </c>
      <c r="P79" s="200"/>
      <c r="Q79" s="509" t="s">
        <v>348</v>
      </c>
      <c r="R79" s="510"/>
      <c r="S79" s="327">
        <f>S61</f>
        <v>6.23</v>
      </c>
      <c r="T79" s="406">
        <f>T61</f>
        <v>44297.611249095964</v>
      </c>
      <c r="U79" s="200"/>
      <c r="V79" s="509" t="s">
        <v>348</v>
      </c>
      <c r="W79" s="510"/>
      <c r="X79" s="327">
        <f>X60</f>
        <v>7.8</v>
      </c>
      <c r="Y79" s="406">
        <f>Y60</f>
        <v>772155.8848441471</v>
      </c>
      <c r="Z79" s="200"/>
      <c r="AA79" s="509" t="s">
        <v>348</v>
      </c>
      <c r="AB79" s="510"/>
      <c r="AC79" s="327">
        <f>AC61</f>
        <v>10.6</v>
      </c>
      <c r="AD79" s="406">
        <f>AD61</f>
        <v>18103</v>
      </c>
      <c r="AF79" s="509" t="s">
        <v>348</v>
      </c>
      <c r="AG79" s="510"/>
      <c r="AH79" s="327">
        <f aca="true" t="shared" si="23" ref="AH79:AI82">AH50</f>
        <v>6.24</v>
      </c>
      <c r="AI79" s="406">
        <f t="shared" si="23"/>
        <v>562227.8859649124</v>
      </c>
      <c r="AJ79" s="200"/>
      <c r="AK79" s="509" t="s">
        <v>348</v>
      </c>
      <c r="AL79" s="510"/>
      <c r="AM79" s="327">
        <f>AM66</f>
        <v>2.54</v>
      </c>
      <c r="AN79" s="406">
        <f>AN66</f>
        <v>24409.2761343099</v>
      </c>
    </row>
    <row r="80" spans="2:40" s="301" customFormat="1" ht="12.75">
      <c r="B80" s="509" t="s">
        <v>349</v>
      </c>
      <c r="C80" s="510"/>
      <c r="D80" s="342">
        <f>SUMPRODUCT(D59:D60,E59:E60)/SUM(E59:E60)</f>
        <v>14.75</v>
      </c>
      <c r="E80" s="407">
        <f>SUM(E59:E60)</f>
        <v>50364</v>
      </c>
      <c r="F80" s="200"/>
      <c r="G80" s="509" t="s">
        <v>349</v>
      </c>
      <c r="H80" s="510"/>
      <c r="I80" s="342">
        <f>SUMPRODUCT(I59:I60,J59:J60)/SUM(J59:J60)</f>
        <v>19.2</v>
      </c>
      <c r="J80" s="407">
        <f>SUM(J59:J60)</f>
        <v>195378.583499812</v>
      </c>
      <c r="K80" s="200"/>
      <c r="L80" s="509" t="s">
        <v>349</v>
      </c>
      <c r="M80" s="510"/>
      <c r="N80" s="342">
        <f>SUMPRODUCT(N59:N60,O59:O60)/SUM(O59:O60)</f>
        <v>26.4</v>
      </c>
      <c r="O80" s="407">
        <f>SUM(O59:O60)</f>
        <v>2407244.50042371</v>
      </c>
      <c r="P80" s="200"/>
      <c r="Q80" s="509" t="s">
        <v>349</v>
      </c>
      <c r="R80" s="510"/>
      <c r="S80" s="342">
        <f>SUMPRODUCT(S59:S60,T59:T60)/SUM(T59:T60)</f>
        <v>13.47</v>
      </c>
      <c r="T80" s="407">
        <f>SUM(T59:T60)</f>
        <v>99272.0752223584</v>
      </c>
      <c r="U80" s="200"/>
      <c r="V80" s="509" t="s">
        <v>349</v>
      </c>
      <c r="W80" s="510"/>
      <c r="X80" s="342">
        <f>X50</f>
        <v>15.96</v>
      </c>
      <c r="Y80" s="407">
        <f>Y50</f>
        <v>2711550.16533849</v>
      </c>
      <c r="Z80" s="200"/>
      <c r="AA80" s="509" t="s">
        <v>349</v>
      </c>
      <c r="AB80" s="510"/>
      <c r="AC80" s="342">
        <f>SUMPRODUCT(AC59:AC60,AD59:AD60)/SUM(AD59:AD60)</f>
        <v>21.460000000000004</v>
      </c>
      <c r="AD80" s="407">
        <f>SUM(AD59:AD60)</f>
        <v>29704</v>
      </c>
      <c r="AF80" s="509" t="s">
        <v>349</v>
      </c>
      <c r="AG80" s="510"/>
      <c r="AH80" s="342">
        <f t="shared" si="23"/>
        <v>16.56</v>
      </c>
      <c r="AI80" s="407">
        <f t="shared" si="23"/>
        <v>1838374.64358108</v>
      </c>
      <c r="AJ80" s="200"/>
      <c r="AK80" s="509" t="s">
        <v>349</v>
      </c>
      <c r="AL80" s="510"/>
      <c r="AM80" s="342">
        <f>AM65</f>
        <v>13.5</v>
      </c>
      <c r="AN80" s="407">
        <f>AN65</f>
        <v>48234.725703994</v>
      </c>
    </row>
    <row r="81" spans="2:40" s="301" customFormat="1" ht="12.75">
      <c r="B81" s="509" t="s">
        <v>350</v>
      </c>
      <c r="C81" s="510"/>
      <c r="D81" s="352">
        <f>SUMPRODUCT(D57:D58,E57:E58)/SUM(E57:E58)</f>
        <v>14.75</v>
      </c>
      <c r="E81" s="408">
        <f>SUM(E57:E58)</f>
        <v>1589</v>
      </c>
      <c r="F81" s="200"/>
      <c r="G81" s="509" t="s">
        <v>350</v>
      </c>
      <c r="H81" s="510"/>
      <c r="I81" s="352">
        <f>SUMPRODUCT(I57:I58,J57:J58)/SUM(J57:J58)</f>
        <v>31.56</v>
      </c>
      <c r="J81" s="408">
        <f>SUM(J57:J58)</f>
        <v>7152.08316685507</v>
      </c>
      <c r="K81" s="200"/>
      <c r="L81" s="509" t="s">
        <v>350</v>
      </c>
      <c r="M81" s="510"/>
      <c r="N81" s="352">
        <f>SUMPRODUCT(N57:N58,O57:O58)/SUM(O57:O58)</f>
        <v>30.1</v>
      </c>
      <c r="O81" s="408">
        <f>SUM(O57:O58)</f>
        <v>121967.800299048</v>
      </c>
      <c r="P81" s="200"/>
      <c r="Q81" s="509" t="s">
        <v>350</v>
      </c>
      <c r="R81" s="510"/>
      <c r="S81" s="352">
        <f>SUMPRODUCT(S57:S58,T57:T58)/SUM(T57:T58)</f>
        <v>13.470000000000002</v>
      </c>
      <c r="T81" s="408">
        <f>SUM(T57:T58)</f>
        <v>3375.00810764053</v>
      </c>
      <c r="U81" s="200"/>
      <c r="V81" s="509" t="s">
        <v>350</v>
      </c>
      <c r="W81" s="510"/>
      <c r="X81" s="352">
        <f>SUMPRODUCT(X51:X52,Y51:Y52)/SUM(Y51:Y52)</f>
        <v>26.393284754465824</v>
      </c>
      <c r="Y81" s="408">
        <f>SUM(Y51:Y52)</f>
        <v>111893.63377086111</v>
      </c>
      <c r="Z81" s="200"/>
      <c r="AA81" s="509" t="s">
        <v>350</v>
      </c>
      <c r="AB81" s="510"/>
      <c r="AC81" s="352">
        <f>SUMPRODUCT(AC57:AC58,AD57:AD58)/SUM(AD57:AD58)</f>
        <v>34.8</v>
      </c>
      <c r="AD81" s="408">
        <f>SUM(AD57:AD58)</f>
        <v>1178</v>
      </c>
      <c r="AF81" s="509" t="s">
        <v>350</v>
      </c>
      <c r="AG81" s="510"/>
      <c r="AH81" s="352">
        <f t="shared" si="23"/>
        <v>32.88</v>
      </c>
      <c r="AI81" s="408">
        <f t="shared" si="23"/>
        <v>79147.4470198675</v>
      </c>
      <c r="AJ81" s="200"/>
      <c r="AK81" s="509" t="s">
        <v>350</v>
      </c>
      <c r="AL81" s="510"/>
      <c r="AM81" s="352">
        <f>SUMPRODUCT(AM61:AM64,AN61:AN64)/SUM(AN61:AN64)</f>
        <v>35.713557790616754</v>
      </c>
      <c r="AN81" s="408">
        <f>SUM(AN61:AN64)</f>
        <v>3665.774202451237</v>
      </c>
    </row>
    <row r="82" spans="2:40" s="301" customFormat="1" ht="12.75">
      <c r="B82" s="509" t="s">
        <v>341</v>
      </c>
      <c r="C82" s="510"/>
      <c r="D82" s="361">
        <f>SUMPRODUCT(D55:D56,E55:E56)/SUM(E55:E56)</f>
        <v>154.3185019455253</v>
      </c>
      <c r="E82" s="409">
        <f>SUM(E55:E56)</f>
        <v>514</v>
      </c>
      <c r="F82" s="200"/>
      <c r="G82" s="509" t="s">
        <v>341</v>
      </c>
      <c r="H82" s="510"/>
      <c r="I82" s="361">
        <f>SUMPRODUCT(I55:I56,J55:J56)/SUM(J55:J56)</f>
        <v>112.69185645400592</v>
      </c>
      <c r="J82" s="409">
        <f>SUM(J55:J56)</f>
        <v>1797.3333333333333</v>
      </c>
      <c r="K82" s="200"/>
      <c r="L82" s="509" t="s">
        <v>341</v>
      </c>
      <c r="M82" s="510"/>
      <c r="N82" s="361">
        <f>SUMPRODUCT(N55:N56,O55:O56)/SUM(O55:O56)</f>
        <v>143</v>
      </c>
      <c r="O82" s="409">
        <f>SUM(O55:O56)</f>
        <v>12070.145313782992</v>
      </c>
      <c r="P82" s="200"/>
      <c r="Q82" s="509" t="s">
        <v>341</v>
      </c>
      <c r="R82" s="510"/>
      <c r="S82" s="361">
        <f>SUMPRODUCT(S55:S56,T55:T56)/SUM(T55:T56)</f>
        <v>202.36999999999998</v>
      </c>
      <c r="T82" s="409">
        <f>SUM(T55:T56)</f>
        <v>657.6231129856694</v>
      </c>
      <c r="U82" s="200"/>
      <c r="V82" s="509" t="s">
        <v>341</v>
      </c>
      <c r="W82" s="510"/>
      <c r="X82" s="361">
        <f>SUMPRODUCT(X53:X55,Y53:Y55)/SUM(Y53:Y55)</f>
        <v>277.5956620392418</v>
      </c>
      <c r="Y82" s="409">
        <f>SUM(Y53:Y55)</f>
        <v>23529.796768586602</v>
      </c>
      <c r="Z82" s="200"/>
      <c r="AA82" s="509" t="s">
        <v>341</v>
      </c>
      <c r="AB82" s="510"/>
      <c r="AC82" s="361">
        <f>SUMPRODUCT(AC55:AC56,AD55:AD56)/SUM(AD55:AD56)</f>
        <v>96.8948586820737</v>
      </c>
      <c r="AD82" s="409">
        <f>SUM(AD55:AD56)</f>
        <v>256.15999999999997</v>
      </c>
      <c r="AF82" s="509" t="s">
        <v>341</v>
      </c>
      <c r="AG82" s="510"/>
      <c r="AH82" s="361">
        <f t="shared" si="23"/>
        <v>46.8</v>
      </c>
      <c r="AI82" s="409">
        <f t="shared" si="23"/>
        <v>14040.836240310078</v>
      </c>
      <c r="AJ82" s="200"/>
      <c r="AK82" s="509" t="s">
        <v>341</v>
      </c>
      <c r="AL82" s="510"/>
      <c r="AM82" s="361">
        <f>SUMPRODUCT(AM54:AM60,AN54:AN60)/SUM(AN54:AN60)</f>
        <v>170.89106637829892</v>
      </c>
      <c r="AN82" s="409">
        <f>SUM(AN54:AN60)</f>
        <v>991.3631659218871</v>
      </c>
    </row>
    <row r="83" spans="2:40" s="301" customFormat="1" ht="12.75">
      <c r="B83" s="509" t="s">
        <v>343</v>
      </c>
      <c r="C83" s="510"/>
      <c r="D83" s="380">
        <f>D54</f>
        <v>404.55</v>
      </c>
      <c r="E83" s="410">
        <f>E54</f>
        <v>30</v>
      </c>
      <c r="F83" s="200"/>
      <c r="G83" s="509" t="s">
        <v>343</v>
      </c>
      <c r="H83" s="510"/>
      <c r="I83" s="380">
        <f>I54</f>
        <v>915.36</v>
      </c>
      <c r="J83" s="410">
        <f>J54</f>
        <v>400.75000000000006</v>
      </c>
      <c r="K83" s="200"/>
      <c r="L83" s="509" t="s">
        <v>343</v>
      </c>
      <c r="M83" s="510"/>
      <c r="N83" s="380">
        <f>N54</f>
        <v>569</v>
      </c>
      <c r="O83" s="410">
        <f>O54</f>
        <v>14023.152449822903</v>
      </c>
      <c r="P83" s="200"/>
      <c r="Q83" s="509" t="s">
        <v>343</v>
      </c>
      <c r="R83" s="510"/>
      <c r="S83" s="380">
        <f>S54</f>
        <v>581.83</v>
      </c>
      <c r="T83" s="410">
        <f>T54</f>
        <v>583.941782793161</v>
      </c>
      <c r="U83" s="200"/>
      <c r="V83" s="509" t="s">
        <v>343</v>
      </c>
      <c r="W83" s="510"/>
      <c r="X83" s="380">
        <f>SUMPRODUCT(X56:X57,Y56:Y57)/SUM(Y56:Y57)</f>
        <v>1403.3600222038906</v>
      </c>
      <c r="Y83" s="410">
        <f>SUM(Y56:Y57)</f>
        <v>2353.36634722222</v>
      </c>
      <c r="Z83" s="200"/>
      <c r="AA83" s="509" t="s">
        <v>343</v>
      </c>
      <c r="AB83" s="510"/>
      <c r="AC83" s="380">
        <f>SUMPRODUCT(AC53:AC54,AD53:AD54)/SUM(AD53:AD54)</f>
        <v>499.9700213561132</v>
      </c>
      <c r="AD83" s="410">
        <f>SUM(AD53:AD54)</f>
        <v>18.73</v>
      </c>
      <c r="AF83" s="509" t="s">
        <v>343</v>
      </c>
      <c r="AG83" s="510"/>
      <c r="AH83" s="380">
        <f>SUMPRODUCT(AH54:AH55,AI54:AI55)/SUM(AI54:AI55)</f>
        <v>428.52239498232495</v>
      </c>
      <c r="AI83" s="410">
        <f>SUM(AI54:AI55)</f>
        <v>4699.14005702082</v>
      </c>
      <c r="AJ83" s="200"/>
      <c r="AK83" s="509" t="s">
        <v>343</v>
      </c>
      <c r="AL83" s="510"/>
      <c r="AM83" s="380">
        <f>SUMPRODUCT(AM51:AM53,AN51:AN53)/SUM(AN51:AN53)</f>
        <v>1295.457344249497</v>
      </c>
      <c r="AN83" s="410">
        <f>SUM(AN51:AN53)</f>
        <v>354.91364985360326</v>
      </c>
    </row>
    <row r="84" spans="2:40" s="301" customFormat="1" ht="12.75">
      <c r="B84" s="511" t="s">
        <v>345</v>
      </c>
      <c r="C84" s="512"/>
      <c r="D84" s="513"/>
      <c r="E84" s="514"/>
      <c r="F84" s="200"/>
      <c r="G84" s="511" t="s">
        <v>345</v>
      </c>
      <c r="H84" s="512"/>
      <c r="I84" s="513">
        <f>I52</f>
        <v>6097.2</v>
      </c>
      <c r="J84" s="514">
        <f>J52</f>
        <v>10</v>
      </c>
      <c r="K84" s="200"/>
      <c r="L84" s="511" t="s">
        <v>345</v>
      </c>
      <c r="M84" s="512"/>
      <c r="N84" s="513">
        <f>SUMPRODUCT(N52:N53,O52:O53)/SUM(O52:O53)</f>
        <v>1573.597636833636</v>
      </c>
      <c r="O84" s="514">
        <f>SUM(O52:O53)</f>
        <v>832.5002357337438</v>
      </c>
      <c r="P84" s="200"/>
      <c r="Q84" s="511" t="s">
        <v>345</v>
      </c>
      <c r="R84" s="512"/>
      <c r="S84" s="513">
        <f>SUMPRODUCT(S52:S53,T52:T53)/SUM(T52:T53)</f>
        <v>2464.3525264178775</v>
      </c>
      <c r="T84" s="514">
        <f>SUM(T52:T53)</f>
        <v>4.988702183775625</v>
      </c>
      <c r="U84" s="200"/>
      <c r="V84" s="511" t="s">
        <v>345</v>
      </c>
      <c r="W84" s="512"/>
      <c r="X84" s="513">
        <f>SUMPRODUCT(X58:X59,Y58:Y59)/SUM(Y58:Y59)</f>
        <v>7386.636438209591</v>
      </c>
      <c r="Y84" s="514">
        <f>SUM(Y58:Y59)</f>
        <v>192.9894470426389</v>
      </c>
      <c r="Z84" s="200"/>
      <c r="AA84" s="511" t="s">
        <v>345</v>
      </c>
      <c r="AB84" s="512"/>
      <c r="AC84" s="513"/>
      <c r="AD84" s="514"/>
      <c r="AF84" s="511" t="s">
        <v>345</v>
      </c>
      <c r="AG84" s="512"/>
      <c r="AH84" s="513">
        <f>AH56</f>
        <v>5766</v>
      </c>
      <c r="AI84" s="514">
        <f>AI56</f>
        <v>155.4660306245226</v>
      </c>
      <c r="AJ84" s="200"/>
      <c r="AK84" s="511" t="s">
        <v>345</v>
      </c>
      <c r="AL84" s="512"/>
      <c r="AM84" s="513">
        <f>AM50</f>
        <v>5073.28</v>
      </c>
      <c r="AN84" s="514">
        <f>AN50</f>
        <v>28.81530098849528</v>
      </c>
    </row>
    <row r="85" spans="2:40" s="318" customFormat="1" ht="12.75">
      <c r="B85" s="515" t="s">
        <v>381</v>
      </c>
      <c r="C85" s="516"/>
      <c r="D85" s="413">
        <f>SUMPRODUCT(D79:D84,E79:E84)</f>
        <v>974435.72</v>
      </c>
      <c r="E85" s="414"/>
      <c r="F85" s="195"/>
      <c r="G85" s="515" t="s">
        <v>381</v>
      </c>
      <c r="H85" s="516"/>
      <c r="I85" s="413">
        <f>SUMPRODUCT(I79:I84,J79:J84)</f>
        <v>4770432.217942337</v>
      </c>
      <c r="J85" s="414"/>
      <c r="K85" s="195"/>
      <c r="L85" s="515" t="s">
        <v>381</v>
      </c>
      <c r="M85" s="516"/>
      <c r="N85" s="413">
        <f>SUMPRODUCT(N79:N84,O79:O84)</f>
        <v>81701911.98147288</v>
      </c>
      <c r="O85" s="414"/>
      <c r="P85" s="195"/>
      <c r="Q85" s="515" t="s">
        <v>381</v>
      </c>
      <c r="R85" s="516"/>
      <c r="S85" s="413">
        <f>SUMPRODUCT(S79:S84,T79:T84)</f>
        <v>2143762.2882245425</v>
      </c>
      <c r="T85" s="414"/>
      <c r="U85" s="195"/>
      <c r="V85" s="515" t="s">
        <v>381</v>
      </c>
      <c r="W85" s="516"/>
      <c r="X85" s="413">
        <f>SUMPRODUCT(X79:X84,Y79:Y84)</f>
        <v>63512329.72154425</v>
      </c>
      <c r="Y85" s="414"/>
      <c r="Z85" s="195"/>
      <c r="AA85" s="515" t="s">
        <v>381</v>
      </c>
      <c r="AB85" s="516"/>
      <c r="AC85" s="413">
        <f>SUMPRODUCT(AC79:AC84,AD79:AD84)</f>
        <v>904519.0655000001</v>
      </c>
      <c r="AD85" s="414"/>
      <c r="AF85" s="515" t="s">
        <v>381</v>
      </c>
      <c r="AG85" s="516"/>
      <c r="AH85" s="413">
        <f>SUMPRODUCT(AH79:AH84,AI79:AI84)</f>
        <v>40121369.184356436</v>
      </c>
      <c r="AI85" s="414"/>
      <c r="AJ85" s="195"/>
      <c r="AK85" s="515" t="s">
        <v>381</v>
      </c>
      <c r="AL85" s="516"/>
      <c r="AM85" s="413">
        <f>SUMPRODUCT(AM79:AM84,AN79:AN84)</f>
        <v>1619464.8902803764</v>
      </c>
      <c r="AN85" s="414"/>
    </row>
    <row r="86" spans="1:40" s="301" customFormat="1" ht="12.75">
      <c r="A86" s="318"/>
      <c r="B86" s="498"/>
      <c r="C86" s="169"/>
      <c r="D86" s="499"/>
      <c r="G86" s="498"/>
      <c r="H86" s="169"/>
      <c r="I86" s="499"/>
      <c r="L86" s="498"/>
      <c r="M86" s="169"/>
      <c r="N86" s="499"/>
      <c r="Q86" s="498"/>
      <c r="R86" s="169"/>
      <c r="S86" s="499"/>
      <c r="V86" s="498"/>
      <c r="W86" s="169"/>
      <c r="X86" s="499"/>
      <c r="AA86" s="498"/>
      <c r="AB86" s="169"/>
      <c r="AC86" s="499"/>
      <c r="AF86" s="498"/>
      <c r="AG86" s="169"/>
      <c r="AH86" s="499"/>
      <c r="AK86" s="498"/>
      <c r="AL86" s="169"/>
      <c r="AM86" s="499"/>
      <c r="AN86" s="404"/>
    </row>
    <row r="87" spans="1:40" s="301" customFormat="1" ht="12.75">
      <c r="A87" s="189"/>
      <c r="B87" s="320" t="s">
        <v>37</v>
      </c>
      <c r="C87" s="321"/>
      <c r="D87" s="320" t="s">
        <v>346</v>
      </c>
      <c r="E87" s="500" t="s">
        <v>347</v>
      </c>
      <c r="F87" s="106"/>
      <c r="G87" s="320" t="s">
        <v>37</v>
      </c>
      <c r="H87" s="321"/>
      <c r="I87" s="320" t="s">
        <v>346</v>
      </c>
      <c r="J87" s="500" t="s">
        <v>347</v>
      </c>
      <c r="K87" s="106"/>
      <c r="L87" s="320" t="s">
        <v>37</v>
      </c>
      <c r="M87" s="321"/>
      <c r="N87" s="320" t="s">
        <v>346</v>
      </c>
      <c r="O87" s="500" t="s">
        <v>347</v>
      </c>
      <c r="P87" s="106"/>
      <c r="Q87" s="320" t="s">
        <v>37</v>
      </c>
      <c r="R87" s="321"/>
      <c r="S87" s="320" t="s">
        <v>346</v>
      </c>
      <c r="T87" s="500" t="s">
        <v>347</v>
      </c>
      <c r="U87" s="106"/>
      <c r="V87" s="320" t="s">
        <v>37</v>
      </c>
      <c r="W87" s="321"/>
      <c r="X87" s="320" t="s">
        <v>346</v>
      </c>
      <c r="Y87" s="500" t="s">
        <v>347</v>
      </c>
      <c r="Z87" s="106"/>
      <c r="AA87" s="320" t="s">
        <v>37</v>
      </c>
      <c r="AB87" s="321"/>
      <c r="AC87" s="320" t="s">
        <v>346</v>
      </c>
      <c r="AD87" s="500" t="s">
        <v>347</v>
      </c>
      <c r="AF87" s="320" t="s">
        <v>37</v>
      </c>
      <c r="AG87" s="321"/>
      <c r="AH87" s="320" t="s">
        <v>346</v>
      </c>
      <c r="AI87" s="500" t="s">
        <v>347</v>
      </c>
      <c r="AJ87" s="106"/>
      <c r="AK87" s="320" t="s">
        <v>37</v>
      </c>
      <c r="AL87" s="321"/>
      <c r="AM87" s="320" t="s">
        <v>346</v>
      </c>
      <c r="AN87" s="500" t="s">
        <v>347</v>
      </c>
    </row>
    <row r="88" spans="1:40" s="301" customFormat="1" ht="12.75">
      <c r="A88" s="189"/>
      <c r="B88" s="325" t="s">
        <v>36</v>
      </c>
      <c r="C88" s="501"/>
      <c r="D88" s="502"/>
      <c r="E88" s="502">
        <f>SUM(E71:E72)</f>
        <v>0</v>
      </c>
      <c r="F88" s="503"/>
      <c r="G88" s="325" t="s">
        <v>36</v>
      </c>
      <c r="H88" s="501"/>
      <c r="I88" s="502">
        <f>(I72*J72+I71*J71)/(J71+J72)</f>
        <v>1.47</v>
      </c>
      <c r="J88" s="502">
        <f>SUM(J71:J72)</f>
        <v>146306</v>
      </c>
      <c r="K88" s="503"/>
      <c r="L88" s="325" t="s">
        <v>36</v>
      </c>
      <c r="M88" s="501"/>
      <c r="N88" s="517">
        <f>SUMPRODUCT(N71:N72,O71:O72)/SUM(O71:O72)</f>
        <v>2.189893792904568</v>
      </c>
      <c r="O88" s="504">
        <f>SUM(O71:O72)</f>
        <v>200840.48307220018</v>
      </c>
      <c r="P88" s="503"/>
      <c r="Q88" s="325" t="s">
        <v>36</v>
      </c>
      <c r="R88" s="501"/>
      <c r="S88" s="502">
        <f>(S72*T72+S71*T71)/(T71+T72)</f>
        <v>2.86</v>
      </c>
      <c r="T88" s="504">
        <f>SUM(T71:T72)</f>
        <v>2834.9933333333333</v>
      </c>
      <c r="U88" s="503"/>
      <c r="V88" s="325" t="s">
        <v>36</v>
      </c>
      <c r="W88" s="501"/>
      <c r="X88" s="502">
        <f>(X72*Y72+X71*Y71)/(Y71+Y72)</f>
        <v>1.44</v>
      </c>
      <c r="Y88" s="504">
        <f>SUM(Y71:Y72)</f>
        <v>766153.7973478092</v>
      </c>
      <c r="Z88" s="503"/>
      <c r="AA88" s="325" t="s">
        <v>36</v>
      </c>
      <c r="AB88" s="501"/>
      <c r="AC88" s="502">
        <f>(AC72*AD72+AC71*AD71)/(AD71+AD72)</f>
        <v>11.45</v>
      </c>
      <c r="AD88" s="502">
        <f>SUM(AD71:AD72)</f>
        <v>5615</v>
      </c>
      <c r="AF88" s="325" t="s">
        <v>36</v>
      </c>
      <c r="AG88" s="501"/>
      <c r="AH88" s="502">
        <f>(AH72*AI72+AH71*AI71)/(AI71+AI72)</f>
        <v>5.28</v>
      </c>
      <c r="AI88" s="504">
        <f>SUM(AI71:AI72)</f>
        <v>105135.99291762552</v>
      </c>
      <c r="AJ88" s="503"/>
      <c r="AK88" s="325" t="s">
        <v>36</v>
      </c>
      <c r="AL88" s="501"/>
      <c r="AM88" s="502">
        <f>(AM72*AN72+AM71*AN71)/(AN71+AN72)</f>
        <v>3.76</v>
      </c>
      <c r="AN88" s="502">
        <f>SUM(AN71:AN72)</f>
        <v>2300</v>
      </c>
    </row>
    <row r="89" spans="1:40" s="301" customFormat="1" ht="12.75">
      <c r="A89" s="189"/>
      <c r="B89" s="369"/>
      <c r="C89" s="370"/>
      <c r="D89" s="375"/>
      <c r="E89" s="371"/>
      <c r="F89" s="106"/>
      <c r="G89" s="369"/>
      <c r="H89" s="370"/>
      <c r="I89" s="375"/>
      <c r="J89" s="371"/>
      <c r="K89" s="106"/>
      <c r="L89" s="369"/>
      <c r="M89" s="370"/>
      <c r="N89" s="375"/>
      <c r="O89" s="371"/>
      <c r="P89" s="106"/>
      <c r="Q89" s="369"/>
      <c r="R89" s="370"/>
      <c r="S89" s="375"/>
      <c r="T89" s="371"/>
      <c r="U89" s="106"/>
      <c r="V89" s="369"/>
      <c r="W89" s="370"/>
      <c r="X89" s="375"/>
      <c r="Y89" s="371"/>
      <c r="Z89" s="106"/>
      <c r="AA89" s="369"/>
      <c r="AB89" s="370"/>
      <c r="AC89" s="375"/>
      <c r="AD89" s="371"/>
      <c r="AF89" s="369"/>
      <c r="AG89" s="370"/>
      <c r="AH89" s="375"/>
      <c r="AI89" s="371"/>
      <c r="AJ89" s="106"/>
      <c r="AK89" s="369"/>
      <c r="AL89" s="370"/>
      <c r="AM89" s="375"/>
      <c r="AN89" s="371"/>
    </row>
    <row r="90" spans="1:40" s="301" customFormat="1" ht="12.75">
      <c r="A90" s="189"/>
      <c r="B90" s="402" t="s">
        <v>381</v>
      </c>
      <c r="C90" s="383"/>
      <c r="D90" s="403">
        <f>D88*E88</f>
        <v>0</v>
      </c>
      <c r="G90" s="402" t="s">
        <v>381</v>
      </c>
      <c r="H90" s="383"/>
      <c r="I90" s="403">
        <f>I88*J88</f>
        <v>215069.82</v>
      </c>
      <c r="L90" s="402" t="s">
        <v>381</v>
      </c>
      <c r="M90" s="383"/>
      <c r="N90" s="403">
        <f>N88*O88</f>
        <v>439819.3272437661</v>
      </c>
      <c r="Q90" s="402" t="s">
        <v>381</v>
      </c>
      <c r="R90" s="383"/>
      <c r="S90" s="403">
        <f>S88*T88</f>
        <v>8108.080933333333</v>
      </c>
      <c r="V90" s="402" t="s">
        <v>381</v>
      </c>
      <c r="W90" s="383"/>
      <c r="X90" s="403">
        <f>X88*Y88</f>
        <v>1103261.4681808453</v>
      </c>
      <c r="AA90" s="402" t="s">
        <v>381</v>
      </c>
      <c r="AB90" s="383"/>
      <c r="AC90" s="403">
        <f>AC88*AD88</f>
        <v>64291.74999999999</v>
      </c>
      <c r="AF90" s="402" t="s">
        <v>381</v>
      </c>
      <c r="AG90" s="383"/>
      <c r="AH90" s="403">
        <f>AH88*AI88</f>
        <v>555118.0426050628</v>
      </c>
      <c r="AK90" s="402" t="s">
        <v>381</v>
      </c>
      <c r="AL90" s="383"/>
      <c r="AM90" s="403">
        <f>AM88*AN88</f>
        <v>8648</v>
      </c>
      <c r="AN90" s="404"/>
    </row>
    <row r="91" spans="1:40" s="301" customFormat="1" ht="12.75">
      <c r="A91" s="318"/>
      <c r="B91" s="498"/>
      <c r="C91" s="169"/>
      <c r="D91" s="499"/>
      <c r="G91" s="498"/>
      <c r="H91" s="169"/>
      <c r="I91" s="499"/>
      <c r="L91" s="498"/>
      <c r="M91" s="169"/>
      <c r="N91" s="499"/>
      <c r="Q91" s="498"/>
      <c r="R91" s="169"/>
      <c r="S91" s="499"/>
      <c r="V91" s="498"/>
      <c r="W91" s="169"/>
      <c r="X91" s="499"/>
      <c r="AA91" s="498"/>
      <c r="AB91" s="169"/>
      <c r="AC91" s="499"/>
      <c r="AF91" s="498"/>
      <c r="AG91" s="169"/>
      <c r="AH91" s="499"/>
      <c r="AK91" s="498"/>
      <c r="AL91" s="169"/>
      <c r="AM91" s="499"/>
      <c r="AN91" s="404"/>
    </row>
    <row r="92" spans="2:29" ht="12.75">
      <c r="B92" s="301"/>
      <c r="C92" s="301"/>
      <c r="D92" s="301"/>
      <c r="E92" s="301"/>
      <c r="L92" s="301"/>
      <c r="M92" s="301"/>
      <c r="N92" s="301"/>
      <c r="O92" s="301"/>
      <c r="P92" s="301"/>
      <c r="AA92" s="301"/>
      <c r="AB92" s="301"/>
      <c r="AC92" s="301"/>
    </row>
    <row r="93" spans="1:12" s="107" customFormat="1" ht="12.75">
      <c r="A93" s="107" t="s">
        <v>476</v>
      </c>
      <c r="B93" s="78"/>
      <c r="C93" s="108"/>
      <c r="D93" s="108"/>
      <c r="E93" s="108"/>
      <c r="F93" s="108"/>
      <c r="G93" s="108"/>
      <c r="H93" s="108"/>
      <c r="I93" s="108"/>
      <c r="J93" s="108"/>
      <c r="K93" s="108"/>
      <c r="L93" s="108"/>
    </row>
    <row r="94" spans="1:56" ht="12.75">
      <c r="A94" s="109"/>
      <c r="B94" s="301"/>
      <c r="C94" s="301"/>
      <c r="D94" s="301"/>
      <c r="E94" s="301"/>
      <c r="F94" s="518"/>
      <c r="G94" s="301"/>
      <c r="H94" s="301"/>
      <c r="I94" s="301"/>
      <c r="J94" s="301"/>
      <c r="K94" s="301"/>
      <c r="AF94" s="301"/>
      <c r="AG94" s="301"/>
      <c r="AH94" s="301"/>
      <c r="AI94" s="301"/>
      <c r="AP94" s="301"/>
      <c r="AQ94" s="301"/>
      <c r="AR94" s="301"/>
      <c r="AS94" s="301"/>
      <c r="BD94" s="301"/>
    </row>
    <row r="95" spans="2:47" s="301" customFormat="1" ht="12.75">
      <c r="B95" s="319" t="s">
        <v>139</v>
      </c>
      <c r="F95" s="518"/>
      <c r="G95" s="319" t="s">
        <v>58</v>
      </c>
      <c r="L95" s="319" t="s">
        <v>141</v>
      </c>
      <c r="Q95" s="319" t="s">
        <v>388</v>
      </c>
      <c r="V95" s="319" t="s">
        <v>142</v>
      </c>
      <c r="AA95" s="319" t="s">
        <v>143</v>
      </c>
      <c r="AF95" s="319" t="s">
        <v>140</v>
      </c>
      <c r="AK95" s="103" t="s">
        <v>59</v>
      </c>
      <c r="AP95" s="319" t="s">
        <v>256</v>
      </c>
      <c r="AU95" s="319" t="s">
        <v>177</v>
      </c>
    </row>
    <row r="96" spans="2:50" s="301" customFormat="1" ht="12.75">
      <c r="B96" s="320" t="s">
        <v>227</v>
      </c>
      <c r="C96" s="321"/>
      <c r="D96" s="320" t="s">
        <v>346</v>
      </c>
      <c r="E96" s="500" t="s">
        <v>347</v>
      </c>
      <c r="F96" s="519"/>
      <c r="G96" s="320" t="s">
        <v>227</v>
      </c>
      <c r="H96" s="520"/>
      <c r="I96" s="120" t="s">
        <v>346</v>
      </c>
      <c r="J96" s="105" t="s">
        <v>347</v>
      </c>
      <c r="L96" s="323" t="s">
        <v>227</v>
      </c>
      <c r="M96" s="324"/>
      <c r="N96" s="118" t="s">
        <v>346</v>
      </c>
      <c r="O96" s="117" t="s">
        <v>347</v>
      </c>
      <c r="Q96" s="320" t="s">
        <v>227</v>
      </c>
      <c r="R96" s="321"/>
      <c r="S96" s="104" t="s">
        <v>346</v>
      </c>
      <c r="T96" s="105" t="s">
        <v>347</v>
      </c>
      <c r="V96" s="320" t="s">
        <v>227</v>
      </c>
      <c r="W96" s="321"/>
      <c r="X96" s="104" t="s">
        <v>346</v>
      </c>
      <c r="Y96" s="105" t="s">
        <v>347</v>
      </c>
      <c r="AA96" s="320"/>
      <c r="AB96" s="321"/>
      <c r="AC96" s="104" t="s">
        <v>346</v>
      </c>
      <c r="AD96" s="105" t="s">
        <v>347</v>
      </c>
      <c r="AF96" s="320" t="s">
        <v>227</v>
      </c>
      <c r="AG96" s="321"/>
      <c r="AH96" s="104" t="s">
        <v>346</v>
      </c>
      <c r="AI96" s="105" t="s">
        <v>347</v>
      </c>
      <c r="AK96" s="320" t="s">
        <v>227</v>
      </c>
      <c r="AL96" s="321"/>
      <c r="AM96" s="104" t="s">
        <v>346</v>
      </c>
      <c r="AN96" s="105" t="s">
        <v>347</v>
      </c>
      <c r="AP96" s="320"/>
      <c r="AQ96" s="321"/>
      <c r="AR96" s="104" t="s">
        <v>346</v>
      </c>
      <c r="AS96" s="105" t="s">
        <v>347</v>
      </c>
      <c r="AU96" s="320"/>
      <c r="AV96" s="321"/>
      <c r="AW96" s="104" t="s">
        <v>346</v>
      </c>
      <c r="AX96" s="105" t="s">
        <v>347</v>
      </c>
    </row>
    <row r="97" spans="2:50" s="301" customFormat="1" ht="12.75">
      <c r="B97" s="336"/>
      <c r="C97" s="331"/>
      <c r="D97" s="454"/>
      <c r="E97" s="453"/>
      <c r="F97" s="519"/>
      <c r="G97" s="597" t="s">
        <v>198</v>
      </c>
      <c r="H97" s="331"/>
      <c r="I97" s="452"/>
      <c r="J97" s="453"/>
      <c r="L97" s="336" t="s">
        <v>198</v>
      </c>
      <c r="M97" s="326"/>
      <c r="N97" s="452"/>
      <c r="O97" s="453"/>
      <c r="Q97" s="336" t="s">
        <v>212</v>
      </c>
      <c r="R97" s="331"/>
      <c r="S97" s="417">
        <v>589.56</v>
      </c>
      <c r="T97" s="521">
        <v>581.1253609057519</v>
      </c>
      <c r="V97" s="336" t="s">
        <v>198</v>
      </c>
      <c r="W97" s="331"/>
      <c r="X97" s="522">
        <v>7332.857142857143</v>
      </c>
      <c r="Y97" s="523">
        <v>7</v>
      </c>
      <c r="AA97" s="348" t="s">
        <v>210</v>
      </c>
      <c r="AB97" s="338"/>
      <c r="AC97" s="350">
        <v>1229</v>
      </c>
      <c r="AD97" s="524">
        <v>1</v>
      </c>
      <c r="AF97" s="336" t="s">
        <v>210</v>
      </c>
      <c r="AG97" s="326"/>
      <c r="AH97" s="339">
        <v>503.16</v>
      </c>
      <c r="AI97" s="521">
        <v>1.818507035535416</v>
      </c>
      <c r="AK97" s="348" t="s">
        <v>261</v>
      </c>
      <c r="AL97" s="331"/>
      <c r="AM97" s="461">
        <v>4868.93</v>
      </c>
      <c r="AN97" s="462">
        <v>16.858060927577267</v>
      </c>
      <c r="AP97" s="330" t="s">
        <v>208</v>
      </c>
      <c r="AQ97" s="525"/>
      <c r="AR97" s="526">
        <v>1981</v>
      </c>
      <c r="AS97" s="523">
        <v>19</v>
      </c>
      <c r="AU97" s="519" t="s">
        <v>206</v>
      </c>
      <c r="AV97" s="344"/>
      <c r="AW97" s="473">
        <v>1794</v>
      </c>
      <c r="AX97" s="527">
        <v>1</v>
      </c>
    </row>
    <row r="98" spans="2:50" s="301" customFormat="1" ht="12.75">
      <c r="B98" s="348"/>
      <c r="C98" s="344"/>
      <c r="D98" s="465"/>
      <c r="E98" s="464"/>
      <c r="F98" s="519"/>
      <c r="G98" s="598" t="s">
        <v>204</v>
      </c>
      <c r="H98" s="344"/>
      <c r="I98" s="463"/>
      <c r="J98" s="464"/>
      <c r="L98" s="348" t="s">
        <v>204</v>
      </c>
      <c r="M98" s="338"/>
      <c r="N98" s="463"/>
      <c r="O98" s="464"/>
      <c r="Q98" s="348" t="s">
        <v>213</v>
      </c>
      <c r="R98" s="344"/>
      <c r="S98" s="422">
        <v>205.2</v>
      </c>
      <c r="T98" s="480">
        <v>739.7711606757068</v>
      </c>
      <c r="V98" s="348" t="s">
        <v>206</v>
      </c>
      <c r="W98" s="344"/>
      <c r="X98" s="528">
        <v>6486</v>
      </c>
      <c r="Y98" s="529">
        <v>3</v>
      </c>
      <c r="AA98" s="348" t="s">
        <v>212</v>
      </c>
      <c r="AB98" s="338"/>
      <c r="AC98" s="350">
        <v>435</v>
      </c>
      <c r="AD98" s="524">
        <v>19</v>
      </c>
      <c r="AF98" s="348" t="s">
        <v>212</v>
      </c>
      <c r="AG98" s="338"/>
      <c r="AH98" s="350">
        <v>824.1189752472163</v>
      </c>
      <c r="AI98" s="524">
        <v>2803.6194644188354</v>
      </c>
      <c r="AK98" s="348" t="s">
        <v>265</v>
      </c>
      <c r="AL98" s="344"/>
      <c r="AM98" s="350">
        <v>1599.79</v>
      </c>
      <c r="AN98" s="441">
        <v>89.59757837816291</v>
      </c>
      <c r="AP98" s="330" t="s">
        <v>212</v>
      </c>
      <c r="AQ98" s="363"/>
      <c r="AR98" s="419">
        <v>629</v>
      </c>
      <c r="AS98" s="524">
        <v>73</v>
      </c>
      <c r="AU98" s="530" t="s">
        <v>208</v>
      </c>
      <c r="AV98" s="344"/>
      <c r="AW98" s="473">
        <v>2700</v>
      </c>
      <c r="AX98" s="531">
        <v>1</v>
      </c>
    </row>
    <row r="99" spans="2:50" s="301" customFormat="1" ht="12.75">
      <c r="B99" s="348"/>
      <c r="C99" s="344"/>
      <c r="D99" s="465"/>
      <c r="E99" s="464"/>
      <c r="F99" s="532"/>
      <c r="G99" s="598" t="s">
        <v>208</v>
      </c>
      <c r="H99" s="344"/>
      <c r="I99" s="533">
        <v>6966.36</v>
      </c>
      <c r="J99" s="529">
        <v>10</v>
      </c>
      <c r="L99" s="348" t="s">
        <v>208</v>
      </c>
      <c r="M99" s="338"/>
      <c r="N99" s="473">
        <v>1977</v>
      </c>
      <c r="O99" s="529">
        <v>141.92912263760496</v>
      </c>
      <c r="Q99" s="348" t="s">
        <v>222</v>
      </c>
      <c r="R99" s="344"/>
      <c r="S99" s="428">
        <v>13.8</v>
      </c>
      <c r="T99" s="485">
        <v>699.9382658898834</v>
      </c>
      <c r="V99" s="348" t="s">
        <v>208</v>
      </c>
      <c r="W99" s="344"/>
      <c r="X99" s="528">
        <v>7308.270967741935</v>
      </c>
      <c r="Y99" s="529">
        <v>155</v>
      </c>
      <c r="AA99" s="348" t="s">
        <v>213</v>
      </c>
      <c r="AB99" s="338"/>
      <c r="AC99" s="358">
        <v>150</v>
      </c>
      <c r="AD99" s="480">
        <v>127.5</v>
      </c>
      <c r="AF99" s="348" t="s">
        <v>213</v>
      </c>
      <c r="AG99" s="338"/>
      <c r="AH99" s="358">
        <v>199.81615509296373</v>
      </c>
      <c r="AI99" s="480">
        <v>9716.756881327708</v>
      </c>
      <c r="AK99" s="348" t="s">
        <v>271</v>
      </c>
      <c r="AL99" s="344"/>
      <c r="AM99" s="350">
        <v>619.04</v>
      </c>
      <c r="AN99" s="441">
        <v>51.37744264913773</v>
      </c>
      <c r="AP99" s="330" t="s">
        <v>213</v>
      </c>
      <c r="AQ99" s="363"/>
      <c r="AR99" s="422">
        <v>158</v>
      </c>
      <c r="AS99" s="480">
        <v>285</v>
      </c>
      <c r="AU99" s="530" t="s">
        <v>212</v>
      </c>
      <c r="AV99" s="344"/>
      <c r="AW99" s="350">
        <v>978</v>
      </c>
      <c r="AX99" s="534">
        <v>23</v>
      </c>
    </row>
    <row r="100" spans="1:50" s="301" customFormat="1" ht="12.75">
      <c r="A100" s="519"/>
      <c r="B100" s="530" t="s">
        <v>210</v>
      </c>
      <c r="C100" s="344"/>
      <c r="D100" s="465"/>
      <c r="E100" s="464"/>
      <c r="F100" s="519"/>
      <c r="G100" s="598" t="s">
        <v>209</v>
      </c>
      <c r="H100" s="344"/>
      <c r="I100" s="535"/>
      <c r="J100" s="464"/>
      <c r="L100" s="348" t="s">
        <v>209</v>
      </c>
      <c r="M100" s="338"/>
      <c r="N100" s="473">
        <v>1977</v>
      </c>
      <c r="O100" s="529">
        <v>12.863324596496064</v>
      </c>
      <c r="Q100" s="348" t="s">
        <v>223</v>
      </c>
      <c r="R100" s="344"/>
      <c r="S100" s="428">
        <v>13.8</v>
      </c>
      <c r="T100" s="485">
        <v>2223.042211729736</v>
      </c>
      <c r="V100" s="348" t="s">
        <v>212</v>
      </c>
      <c r="W100" s="344"/>
      <c r="X100" s="536">
        <v>626.2090032154341</v>
      </c>
      <c r="Y100" s="524">
        <v>11818</v>
      </c>
      <c r="AA100" s="348" t="s">
        <v>214</v>
      </c>
      <c r="AB100" s="338"/>
      <c r="AC100" s="358">
        <v>34.5</v>
      </c>
      <c r="AD100" s="480">
        <v>87.8</v>
      </c>
      <c r="AF100" s="348" t="s">
        <v>214</v>
      </c>
      <c r="AG100" s="338"/>
      <c r="AH100" s="358">
        <v>41.04</v>
      </c>
      <c r="AI100" s="480">
        <v>7411.379142300195</v>
      </c>
      <c r="AK100" s="348" t="s">
        <v>278</v>
      </c>
      <c r="AL100" s="344"/>
      <c r="AM100" s="350">
        <v>531.41</v>
      </c>
      <c r="AN100" s="441">
        <v>37.19280796500764</v>
      </c>
      <c r="AP100" s="330" t="s">
        <v>222</v>
      </c>
      <c r="AQ100" s="363"/>
      <c r="AR100" s="428">
        <v>33.3</v>
      </c>
      <c r="AS100" s="485">
        <v>1530</v>
      </c>
      <c r="AU100" s="530" t="s">
        <v>213</v>
      </c>
      <c r="AV100" s="344"/>
      <c r="AW100" s="358">
        <v>56.4</v>
      </c>
      <c r="AX100" s="537">
        <v>152</v>
      </c>
    </row>
    <row r="101" spans="1:50" s="301" customFormat="1" ht="12.75">
      <c r="A101" s="519"/>
      <c r="B101" s="530" t="s">
        <v>212</v>
      </c>
      <c r="C101" s="344"/>
      <c r="D101" s="419">
        <v>328.26</v>
      </c>
      <c r="E101" s="524">
        <v>31</v>
      </c>
      <c r="F101" s="519"/>
      <c r="G101" s="530" t="s">
        <v>210</v>
      </c>
      <c r="H101" s="344"/>
      <c r="I101" s="535"/>
      <c r="J101" s="464"/>
      <c r="L101" s="348" t="s">
        <v>210</v>
      </c>
      <c r="M101" s="338"/>
      <c r="N101" s="350">
        <v>1703</v>
      </c>
      <c r="O101" s="524">
        <v>383</v>
      </c>
      <c r="Q101" s="348" t="s">
        <v>225</v>
      </c>
      <c r="R101" s="344"/>
      <c r="S101" s="430">
        <v>13.8</v>
      </c>
      <c r="T101" s="490">
        <v>7255.631412656911</v>
      </c>
      <c r="V101" s="348" t="s">
        <v>213</v>
      </c>
      <c r="W101" s="344"/>
      <c r="X101" s="538">
        <v>111.34514599450961</v>
      </c>
      <c r="Y101" s="480">
        <v>12021</v>
      </c>
      <c r="AA101" s="348" t="s">
        <v>222</v>
      </c>
      <c r="AB101" s="338"/>
      <c r="AC101" s="378">
        <v>34.5</v>
      </c>
      <c r="AD101" s="485">
        <v>1084.5</v>
      </c>
      <c r="AF101" s="348" t="s">
        <v>222</v>
      </c>
      <c r="AG101" s="338"/>
      <c r="AH101" s="378">
        <v>39.284967048094</v>
      </c>
      <c r="AI101" s="485">
        <v>57102.88613081166</v>
      </c>
      <c r="AK101" s="348" t="s">
        <v>286</v>
      </c>
      <c r="AL101" s="344"/>
      <c r="AM101" s="358">
        <v>354.74</v>
      </c>
      <c r="AN101" s="442">
        <v>162.516604995348</v>
      </c>
      <c r="AP101" s="330" t="s">
        <v>225</v>
      </c>
      <c r="AQ101" s="363"/>
      <c r="AR101" s="430">
        <v>29.2</v>
      </c>
      <c r="AS101" s="490">
        <v>19294</v>
      </c>
      <c r="AU101" s="530" t="s">
        <v>214</v>
      </c>
      <c r="AV101" s="344"/>
      <c r="AW101" s="358">
        <v>7.56</v>
      </c>
      <c r="AX101" s="537">
        <v>155</v>
      </c>
    </row>
    <row r="102" spans="1:50" s="301" customFormat="1" ht="12.75">
      <c r="A102" s="519"/>
      <c r="B102" s="519" t="s">
        <v>213</v>
      </c>
      <c r="C102" s="344"/>
      <c r="D102" s="422">
        <v>300.34</v>
      </c>
      <c r="E102" s="480">
        <v>189</v>
      </c>
      <c r="F102" s="519"/>
      <c r="G102" s="530" t="s">
        <v>212</v>
      </c>
      <c r="H102" s="344"/>
      <c r="I102" s="350">
        <v>1045.44</v>
      </c>
      <c r="J102" s="524">
        <v>315.25</v>
      </c>
      <c r="L102" s="348" t="s">
        <v>212</v>
      </c>
      <c r="M102" s="338"/>
      <c r="N102" s="350">
        <v>629</v>
      </c>
      <c r="O102" s="524">
        <v>8566</v>
      </c>
      <c r="Q102" s="348" t="s">
        <v>226</v>
      </c>
      <c r="R102" s="344"/>
      <c r="S102" s="430">
        <v>13.8</v>
      </c>
      <c r="T102" s="490">
        <v>87909.51534650881</v>
      </c>
      <c r="V102" s="348" t="s">
        <v>214</v>
      </c>
      <c r="W102" s="344"/>
      <c r="X102" s="538">
        <v>30</v>
      </c>
      <c r="Y102" s="480">
        <v>1714</v>
      </c>
      <c r="AA102" s="348" t="s">
        <v>223</v>
      </c>
      <c r="AB102" s="338"/>
      <c r="AC102" s="378"/>
      <c r="AD102" s="485"/>
      <c r="AF102" s="348" t="s">
        <v>223</v>
      </c>
      <c r="AG102" s="338"/>
      <c r="AH102" s="378">
        <v>37.296882547572736</v>
      </c>
      <c r="AI102" s="485">
        <v>8603.989880137695</v>
      </c>
      <c r="AK102" s="348" t="s">
        <v>294</v>
      </c>
      <c r="AL102" s="344"/>
      <c r="AM102" s="358">
        <v>175.28</v>
      </c>
      <c r="AN102" s="442">
        <v>98.06939838777241</v>
      </c>
      <c r="AP102" s="330" t="s">
        <v>226</v>
      </c>
      <c r="AQ102" s="363"/>
      <c r="AR102" s="430">
        <v>29.2</v>
      </c>
      <c r="AS102" s="490">
        <v>25105</v>
      </c>
      <c r="AU102" s="530" t="s">
        <v>222</v>
      </c>
      <c r="AV102" s="344"/>
      <c r="AW102" s="378">
        <v>7.56</v>
      </c>
      <c r="AX102" s="539">
        <v>1656</v>
      </c>
    </row>
    <row r="103" spans="1:50" s="301" customFormat="1" ht="12.75">
      <c r="A103" s="519"/>
      <c r="B103" s="519" t="s">
        <v>214</v>
      </c>
      <c r="C103" s="344"/>
      <c r="D103" s="422">
        <v>14.37</v>
      </c>
      <c r="E103" s="480">
        <v>307</v>
      </c>
      <c r="F103" s="519"/>
      <c r="G103" s="530" t="s">
        <v>213</v>
      </c>
      <c r="H103" s="344"/>
      <c r="I103" s="358">
        <v>151.32</v>
      </c>
      <c r="J103" s="480">
        <v>1227.1666666666667</v>
      </c>
      <c r="L103" s="348" t="s">
        <v>213</v>
      </c>
      <c r="M103" s="338"/>
      <c r="N103" s="358">
        <v>158</v>
      </c>
      <c r="O103" s="480">
        <v>26937</v>
      </c>
      <c r="Q103" s="348" t="s">
        <v>228</v>
      </c>
      <c r="R103" s="344"/>
      <c r="S103" s="436">
        <v>6.6</v>
      </c>
      <c r="T103" s="494">
        <v>40214.5</v>
      </c>
      <c r="V103" s="348" t="s">
        <v>222</v>
      </c>
      <c r="W103" s="363"/>
      <c r="X103" s="540">
        <v>26.089469074543327</v>
      </c>
      <c r="Y103" s="485">
        <v>67972.51414580841</v>
      </c>
      <c r="AA103" s="348" t="s">
        <v>225</v>
      </c>
      <c r="AB103" s="338"/>
      <c r="AC103" s="393">
        <v>21.1</v>
      </c>
      <c r="AD103" s="490">
        <v>16985.6</v>
      </c>
      <c r="AF103" s="348" t="s">
        <v>225</v>
      </c>
      <c r="AG103" s="338"/>
      <c r="AH103" s="393">
        <v>19.808242368761658</v>
      </c>
      <c r="AI103" s="490">
        <v>1260206.8136730178</v>
      </c>
      <c r="AK103" s="348" t="s">
        <v>302</v>
      </c>
      <c r="AL103" s="344"/>
      <c r="AM103" s="358">
        <v>175.28</v>
      </c>
      <c r="AN103" s="442">
        <v>21.958415889648503</v>
      </c>
      <c r="AP103" s="330" t="s">
        <v>228</v>
      </c>
      <c r="AQ103" s="363"/>
      <c r="AR103" s="436">
        <v>3.53</v>
      </c>
      <c r="AS103" s="494">
        <v>14987</v>
      </c>
      <c r="AU103" s="530" t="s">
        <v>223</v>
      </c>
      <c r="AV103" s="344"/>
      <c r="AW103" s="378">
        <v>7.56</v>
      </c>
      <c r="AX103" s="539">
        <v>214</v>
      </c>
    </row>
    <row r="104" spans="1:50" s="301" customFormat="1" ht="12.75">
      <c r="A104" s="519"/>
      <c r="B104" s="530" t="s">
        <v>222</v>
      </c>
      <c r="C104" s="344"/>
      <c r="D104" s="428">
        <v>13.14</v>
      </c>
      <c r="E104" s="485">
        <v>1056</v>
      </c>
      <c r="F104" s="519"/>
      <c r="G104" s="530" t="s">
        <v>214</v>
      </c>
      <c r="H104" s="344"/>
      <c r="I104" s="358">
        <v>36.24</v>
      </c>
      <c r="J104" s="480">
        <v>452</v>
      </c>
      <c r="L104" s="348" t="s">
        <v>214</v>
      </c>
      <c r="M104" s="338"/>
      <c r="N104" s="358">
        <v>158</v>
      </c>
      <c r="O104" s="480">
        <v>4641</v>
      </c>
      <c r="Q104" s="541"/>
      <c r="R104" s="370"/>
      <c r="S104" s="371"/>
      <c r="T104" s="542"/>
      <c r="V104" s="348" t="s">
        <v>223</v>
      </c>
      <c r="W104" s="344"/>
      <c r="X104" s="540">
        <v>26.334965473335732</v>
      </c>
      <c r="Y104" s="485">
        <v>41933.96909593476</v>
      </c>
      <c r="AA104" s="348" t="s">
        <v>226</v>
      </c>
      <c r="AB104" s="338"/>
      <c r="AC104" s="393">
        <v>21.1</v>
      </c>
      <c r="AD104" s="490">
        <v>12267</v>
      </c>
      <c r="AF104" s="330" t="s">
        <v>226</v>
      </c>
      <c r="AG104" s="329"/>
      <c r="AH104" s="393">
        <v>18.456284501255</v>
      </c>
      <c r="AI104" s="490">
        <v>506675.59872975096</v>
      </c>
      <c r="AK104" s="348" t="s">
        <v>309</v>
      </c>
      <c r="AL104" s="344"/>
      <c r="AM104" s="358">
        <v>133.55</v>
      </c>
      <c r="AN104" s="442">
        <v>31.72748352511857</v>
      </c>
      <c r="AP104" s="369"/>
      <c r="AQ104" s="370"/>
      <c r="AR104" s="371"/>
      <c r="AS104" s="497"/>
      <c r="AU104" s="530" t="s">
        <v>225</v>
      </c>
      <c r="AV104" s="344"/>
      <c r="AW104" s="393">
        <v>7.56</v>
      </c>
      <c r="AX104" s="543">
        <v>25041</v>
      </c>
    </row>
    <row r="105" spans="1:50" s="301" customFormat="1" ht="12.75">
      <c r="A105" s="519"/>
      <c r="B105" s="530" t="s">
        <v>223</v>
      </c>
      <c r="C105" s="344"/>
      <c r="D105" s="428">
        <v>13.14</v>
      </c>
      <c r="E105" s="485">
        <v>514</v>
      </c>
      <c r="F105" s="519"/>
      <c r="G105" s="530" t="s">
        <v>222</v>
      </c>
      <c r="H105" s="344"/>
      <c r="I105" s="378">
        <v>36.24</v>
      </c>
      <c r="J105" s="485">
        <v>5670.153333333333</v>
      </c>
      <c r="L105" s="348" t="s">
        <v>222</v>
      </c>
      <c r="M105" s="338"/>
      <c r="N105" s="378">
        <v>33.3</v>
      </c>
      <c r="O105" s="485">
        <v>63442</v>
      </c>
      <c r="Q105" s="338"/>
      <c r="R105" s="338"/>
      <c r="S105" s="544"/>
      <c r="T105" s="404"/>
      <c r="V105" s="348" t="s">
        <v>225</v>
      </c>
      <c r="W105" s="344"/>
      <c r="X105" s="545">
        <v>15.96</v>
      </c>
      <c r="Y105" s="490">
        <v>760880.9786418099</v>
      </c>
      <c r="AA105" s="546" t="s">
        <v>228</v>
      </c>
      <c r="AB105" s="547"/>
      <c r="AC105" s="435">
        <v>10.5</v>
      </c>
      <c r="AD105" s="548">
        <v>17296</v>
      </c>
      <c r="AF105" s="330" t="s">
        <v>228</v>
      </c>
      <c r="AG105" s="329"/>
      <c r="AH105" s="398">
        <v>8.551764331885133</v>
      </c>
      <c r="AI105" s="494">
        <v>726649</v>
      </c>
      <c r="AK105" s="348" t="s">
        <v>317</v>
      </c>
      <c r="AL105" s="344"/>
      <c r="AM105" s="358">
        <v>133.55</v>
      </c>
      <c r="AN105" s="442">
        <v>167.7137777063648</v>
      </c>
      <c r="AP105" s="329"/>
      <c r="AQ105" s="329"/>
      <c r="AR105" s="544"/>
      <c r="AS105" s="404"/>
      <c r="AU105" s="530" t="s">
        <v>226</v>
      </c>
      <c r="AV105" s="344"/>
      <c r="AW105" s="393">
        <v>7.56</v>
      </c>
      <c r="AX105" s="543">
        <v>10050</v>
      </c>
    </row>
    <row r="106" spans="1:50" s="301" customFormat="1" ht="12.75">
      <c r="A106" s="519"/>
      <c r="B106" s="530" t="s">
        <v>225</v>
      </c>
      <c r="C106" s="344"/>
      <c r="D106" s="430">
        <v>13.14</v>
      </c>
      <c r="E106" s="490">
        <v>30659</v>
      </c>
      <c r="F106" s="519"/>
      <c r="G106" s="530" t="s">
        <v>223</v>
      </c>
      <c r="H106" s="344"/>
      <c r="I106" s="378">
        <v>36.24</v>
      </c>
      <c r="J106" s="485">
        <v>2001.5725</v>
      </c>
      <c r="L106" s="348" t="s">
        <v>223</v>
      </c>
      <c r="M106" s="338"/>
      <c r="N106" s="378">
        <v>33.3</v>
      </c>
      <c r="O106" s="485">
        <v>0</v>
      </c>
      <c r="Q106" s="338"/>
      <c r="R106" s="338"/>
      <c r="S106" s="544"/>
      <c r="T106" s="404"/>
      <c r="V106" s="348" t="s">
        <v>226</v>
      </c>
      <c r="W106" s="344"/>
      <c r="X106" s="545">
        <v>15.960000640206548</v>
      </c>
      <c r="Y106" s="490">
        <v>1874395.1390943108</v>
      </c>
      <c r="AA106" s="541"/>
      <c r="AB106" s="551"/>
      <c r="AC106" s="552"/>
      <c r="AD106" s="497"/>
      <c r="AF106" s="382"/>
      <c r="AG106" s="383"/>
      <c r="AH106" s="549"/>
      <c r="AI106" s="550"/>
      <c r="AK106" s="348" t="s">
        <v>324</v>
      </c>
      <c r="AL106" s="344"/>
      <c r="AM106" s="358">
        <v>128.95</v>
      </c>
      <c r="AN106" s="442">
        <v>94.24817394489953</v>
      </c>
      <c r="AP106" s="329"/>
      <c r="AQ106" s="329"/>
      <c r="AR106" s="544"/>
      <c r="AS106" s="404"/>
      <c r="AU106" s="546" t="s">
        <v>228</v>
      </c>
      <c r="AV106" s="553"/>
      <c r="AW106" s="435">
        <v>2.28</v>
      </c>
      <c r="AX106" s="554">
        <v>8347</v>
      </c>
    </row>
    <row r="107" spans="1:50" s="301" customFormat="1" ht="12.75">
      <c r="A107" s="519"/>
      <c r="B107" s="530" t="s">
        <v>226</v>
      </c>
      <c r="C107" s="344"/>
      <c r="D107" s="430">
        <v>13.14</v>
      </c>
      <c r="E107" s="490">
        <v>18395</v>
      </c>
      <c r="F107" s="519"/>
      <c r="G107" s="530" t="s">
        <v>225</v>
      </c>
      <c r="H107" s="344"/>
      <c r="I107" s="393">
        <v>21.96</v>
      </c>
      <c r="J107" s="490">
        <v>72379.44583333335</v>
      </c>
      <c r="L107" s="348" t="s">
        <v>225</v>
      </c>
      <c r="M107" s="338"/>
      <c r="N107" s="393">
        <v>29.2</v>
      </c>
      <c r="O107" s="490">
        <v>1049026</v>
      </c>
      <c r="Q107" s="338"/>
      <c r="R107" s="338"/>
      <c r="S107" s="544"/>
      <c r="T107" s="404"/>
      <c r="V107" s="348" t="s">
        <v>228</v>
      </c>
      <c r="W107" s="344"/>
      <c r="X107" s="555">
        <v>8.4</v>
      </c>
      <c r="Y107" s="494">
        <v>713241</v>
      </c>
      <c r="AK107" s="348" t="s">
        <v>331</v>
      </c>
      <c r="AL107" s="344"/>
      <c r="AM107" s="358">
        <v>121.3</v>
      </c>
      <c r="AN107" s="442">
        <v>628.7536573899245</v>
      </c>
      <c r="AP107" s="329"/>
      <c r="AQ107" s="329"/>
      <c r="AR107" s="544"/>
      <c r="AS107" s="404"/>
      <c r="AU107" s="369"/>
      <c r="AV107" s="370"/>
      <c r="AW107" s="556"/>
      <c r="AX107" s="542"/>
    </row>
    <row r="108" spans="2:45" s="301" customFormat="1" ht="12.75">
      <c r="B108" s="546" t="s">
        <v>228</v>
      </c>
      <c r="C108" s="553"/>
      <c r="D108" s="557">
        <v>4.59</v>
      </c>
      <c r="E108" s="558">
        <v>21440</v>
      </c>
      <c r="G108" s="530" t="s">
        <v>226</v>
      </c>
      <c r="H108" s="344"/>
      <c r="I108" s="393">
        <v>21.96</v>
      </c>
      <c r="J108" s="490">
        <v>114971.20500000002</v>
      </c>
      <c r="L108" s="348" t="s">
        <v>226</v>
      </c>
      <c r="M108" s="338"/>
      <c r="N108" s="393">
        <v>29.2</v>
      </c>
      <c r="O108" s="490">
        <v>1308925</v>
      </c>
      <c r="Q108" s="338"/>
      <c r="R108" s="338"/>
      <c r="S108" s="544"/>
      <c r="T108" s="404"/>
      <c r="V108" s="369"/>
      <c r="W108" s="370"/>
      <c r="X108" s="376"/>
      <c r="Y108" s="497"/>
      <c r="AK108" s="348" t="s">
        <v>337</v>
      </c>
      <c r="AL108" s="344"/>
      <c r="AM108" s="378">
        <v>48.28</v>
      </c>
      <c r="AN108" s="443">
        <v>553.2604222914453</v>
      </c>
      <c r="AP108" s="329"/>
      <c r="AQ108" s="329"/>
      <c r="AR108" s="544"/>
      <c r="AS108" s="404"/>
    </row>
    <row r="109" spans="2:50" s="301" customFormat="1" ht="12.75">
      <c r="B109" s="369"/>
      <c r="C109" s="370"/>
      <c r="D109" s="371"/>
      <c r="E109" s="497"/>
      <c r="G109" s="519" t="s">
        <v>228</v>
      </c>
      <c r="H109" s="344"/>
      <c r="I109" s="398">
        <v>2.28</v>
      </c>
      <c r="J109" s="494">
        <v>81115.33333333333</v>
      </c>
      <c r="L109" s="372" t="s">
        <v>228</v>
      </c>
      <c r="M109" s="387"/>
      <c r="N109" s="559">
        <v>3.53</v>
      </c>
      <c r="O109" s="548">
        <v>874277</v>
      </c>
      <c r="Q109" s="329"/>
      <c r="R109" s="329"/>
      <c r="S109" s="560"/>
      <c r="T109" s="404"/>
      <c r="AA109" s="338"/>
      <c r="AB109" s="338"/>
      <c r="AC109" s="544"/>
      <c r="AD109" s="404"/>
      <c r="AK109" s="330" t="s">
        <v>338</v>
      </c>
      <c r="AL109" s="363"/>
      <c r="AM109" s="378">
        <v>48.28</v>
      </c>
      <c r="AN109" s="443">
        <v>698.7737900000501</v>
      </c>
      <c r="AP109" s="329"/>
      <c r="AQ109" s="329"/>
      <c r="AR109" s="560"/>
      <c r="AS109" s="404"/>
      <c r="AU109" s="329"/>
      <c r="AV109" s="329"/>
      <c r="AW109" s="544"/>
      <c r="AX109" s="404"/>
    </row>
    <row r="110" spans="7:50" ht="12.75">
      <c r="G110" s="369"/>
      <c r="H110" s="370"/>
      <c r="I110" s="375"/>
      <c r="J110" s="497"/>
      <c r="L110" s="395"/>
      <c r="M110" s="396"/>
      <c r="N110" s="391"/>
      <c r="O110" s="397"/>
      <c r="Q110" s="386"/>
      <c r="R110" s="386"/>
      <c r="S110" s="386"/>
      <c r="T110" s="386"/>
      <c r="AK110" s="330" t="s">
        <v>339</v>
      </c>
      <c r="AL110" s="363"/>
      <c r="AM110" s="378">
        <v>48.28</v>
      </c>
      <c r="AN110" s="443">
        <v>1382.8369777465828</v>
      </c>
      <c r="AP110" s="386"/>
      <c r="AQ110" s="386"/>
      <c r="AR110" s="386"/>
      <c r="AS110" s="386"/>
      <c r="AU110" s="33"/>
      <c r="AV110" s="33"/>
      <c r="AW110" s="33"/>
      <c r="AX110" s="33"/>
    </row>
    <row r="111" spans="7:40" ht="12.75">
      <c r="G111" s="341"/>
      <c r="L111" s="341"/>
      <c r="Q111" s="392"/>
      <c r="AK111" s="330" t="s">
        <v>340</v>
      </c>
      <c r="AL111" s="363"/>
      <c r="AM111" s="378">
        <v>14.32</v>
      </c>
      <c r="AN111" s="443">
        <v>1775.3127082720712</v>
      </c>
    </row>
    <row r="112" spans="37:40" ht="12.75">
      <c r="AK112" s="330" t="s">
        <v>342</v>
      </c>
      <c r="AL112" s="363"/>
      <c r="AM112" s="393">
        <v>12.81</v>
      </c>
      <c r="AN112" s="444">
        <v>45318.28727556596</v>
      </c>
    </row>
    <row r="113" spans="37:40" ht="12.75">
      <c r="AK113" s="330" t="s">
        <v>344</v>
      </c>
      <c r="AL113" s="363"/>
      <c r="AM113" s="398">
        <v>2.43</v>
      </c>
      <c r="AN113" s="495">
        <v>22644</v>
      </c>
    </row>
    <row r="114" spans="37:40" ht="12.75">
      <c r="AK114" s="369"/>
      <c r="AL114" s="370"/>
      <c r="AM114" s="371"/>
      <c r="AN114" s="497"/>
    </row>
    <row r="115" spans="2:49" s="301" customFormat="1" ht="12.75">
      <c r="B115" s="402" t="s">
        <v>381</v>
      </c>
      <c r="C115" s="383"/>
      <c r="D115" s="403">
        <f>SUMPRODUCT(D97:D113,E97:E113)</f>
        <v>834960.87</v>
      </c>
      <c r="G115" s="402" t="s">
        <v>381</v>
      </c>
      <c r="H115" s="383"/>
      <c r="I115" s="403">
        <f>SUMPRODUCT(I97:I113,J97:J113)</f>
        <v>5178500.496500001</v>
      </c>
      <c r="L115" s="402" t="s">
        <v>381</v>
      </c>
      <c r="M115" s="383"/>
      <c r="N115" s="403">
        <f>SUMPRODUCT(N97:N113,O97:O113)</f>
        <v>85386597.27818182</v>
      </c>
      <c r="Q115" s="402" t="s">
        <v>381</v>
      </c>
      <c r="R115" s="383"/>
      <c r="S115" s="403">
        <f>SUMPRODUCT(S97:S113,T97:T113)</f>
        <v>2113441.165813888</v>
      </c>
      <c r="V115" s="402" t="s">
        <v>381</v>
      </c>
      <c r="W115" s="383"/>
      <c r="X115" s="403">
        <f>SUMPRODUCT(X97:X113,Y97:Y113)</f>
        <v>60921936.87309592</v>
      </c>
      <c r="AA115" s="402" t="s">
        <v>381</v>
      </c>
      <c r="AB115" s="383"/>
      <c r="AC115" s="403">
        <f>SUMPRODUCT(AC107:AC113,AD107:AD113)</f>
        <v>0</v>
      </c>
      <c r="AF115" s="402" t="s">
        <v>381</v>
      </c>
      <c r="AG115" s="383"/>
      <c r="AH115" s="403">
        <f>SUMPRODUCT(AH97:AH113,AI97:AI113)</f>
        <v>47649308</v>
      </c>
      <c r="AK115" s="402" t="s">
        <v>381</v>
      </c>
      <c r="AL115" s="383"/>
      <c r="AM115" s="403">
        <f>SUMPRODUCT(AM97:AM113,AN97:AN113)</f>
        <v>1258919.706573065</v>
      </c>
      <c r="AN115" s="404"/>
      <c r="AP115" s="402" t="s">
        <v>381</v>
      </c>
      <c r="AQ115" s="383"/>
      <c r="AR115" s="403">
        <f>SUMPRODUCT(AR97:AR113,AS97:AS113)</f>
        <v>1528889.91</v>
      </c>
      <c r="AU115" s="402" t="s">
        <v>381</v>
      </c>
      <c r="AV115" s="383"/>
      <c r="AW115" s="403">
        <f>SUMPRODUCT(AW97:AW113,AX97:AX113)</f>
        <v>335188.92</v>
      </c>
    </row>
    <row r="116" spans="1:49" s="301" customFormat="1" ht="12.75">
      <c r="A116" s="318"/>
      <c r="B116" s="498"/>
      <c r="C116" s="169"/>
      <c r="D116" s="499"/>
      <c r="G116" s="498"/>
      <c r="H116" s="169"/>
      <c r="I116" s="499"/>
      <c r="L116" s="498"/>
      <c r="M116" s="169"/>
      <c r="N116" s="499"/>
      <c r="Q116" s="498"/>
      <c r="R116" s="169"/>
      <c r="S116" s="499"/>
      <c r="V116" s="498"/>
      <c r="W116" s="169"/>
      <c r="X116" s="499"/>
      <c r="AA116" s="498"/>
      <c r="AB116" s="169"/>
      <c r="AC116" s="499"/>
      <c r="AF116" s="498"/>
      <c r="AG116" s="169"/>
      <c r="AH116" s="499"/>
      <c r="AK116" s="498"/>
      <c r="AL116" s="169"/>
      <c r="AM116" s="499"/>
      <c r="AN116" s="404"/>
      <c r="AP116" s="498"/>
      <c r="AQ116" s="169"/>
      <c r="AR116" s="499"/>
      <c r="AU116" s="498"/>
      <c r="AV116" s="169"/>
      <c r="AW116" s="499"/>
    </row>
    <row r="117" spans="1:56" s="301" customFormat="1" ht="12.75">
      <c r="A117" s="519"/>
      <c r="B117" s="320" t="s">
        <v>37</v>
      </c>
      <c r="C117" s="321"/>
      <c r="D117" s="320" t="s">
        <v>346</v>
      </c>
      <c r="E117" s="500" t="s">
        <v>347</v>
      </c>
      <c r="F117" s="106"/>
      <c r="G117" s="320" t="s">
        <v>37</v>
      </c>
      <c r="H117" s="321"/>
      <c r="I117" s="320" t="s">
        <v>346</v>
      </c>
      <c r="J117" s="500" t="s">
        <v>347</v>
      </c>
      <c r="K117" s="106"/>
      <c r="L117" s="320" t="s">
        <v>37</v>
      </c>
      <c r="M117" s="321"/>
      <c r="N117" s="320" t="s">
        <v>346</v>
      </c>
      <c r="O117" s="500" t="s">
        <v>347</v>
      </c>
      <c r="P117" s="106"/>
      <c r="Q117" s="320" t="s">
        <v>37</v>
      </c>
      <c r="R117" s="321"/>
      <c r="S117" s="320" t="s">
        <v>346</v>
      </c>
      <c r="T117" s="500" t="s">
        <v>347</v>
      </c>
      <c r="U117" s="106"/>
      <c r="V117" s="320" t="s">
        <v>37</v>
      </c>
      <c r="W117" s="321"/>
      <c r="X117" s="320" t="s">
        <v>346</v>
      </c>
      <c r="Y117" s="500" t="s">
        <v>347</v>
      </c>
      <c r="Z117" s="106"/>
      <c r="AA117" s="320" t="s">
        <v>37</v>
      </c>
      <c r="AB117" s="321"/>
      <c r="AC117" s="320" t="s">
        <v>346</v>
      </c>
      <c r="AD117" s="500" t="s">
        <v>347</v>
      </c>
      <c r="AF117" s="320" t="s">
        <v>37</v>
      </c>
      <c r="AG117" s="321"/>
      <c r="AH117" s="320" t="s">
        <v>346</v>
      </c>
      <c r="AI117" s="500" t="s">
        <v>347</v>
      </c>
      <c r="AK117" s="320" t="s">
        <v>37</v>
      </c>
      <c r="AL117" s="321"/>
      <c r="AM117" s="320" t="s">
        <v>346</v>
      </c>
      <c r="AN117" s="500" t="s">
        <v>347</v>
      </c>
      <c r="AP117" s="320" t="s">
        <v>37</v>
      </c>
      <c r="AQ117" s="321"/>
      <c r="AR117" s="320" t="s">
        <v>346</v>
      </c>
      <c r="AS117" s="500" t="s">
        <v>347</v>
      </c>
      <c r="AT117" s="106"/>
      <c r="AU117" s="320" t="s">
        <v>37</v>
      </c>
      <c r="AV117" s="321"/>
      <c r="AW117" s="320" t="s">
        <v>346</v>
      </c>
      <c r="AX117" s="500" t="s">
        <v>347</v>
      </c>
      <c r="AY117" s="106"/>
      <c r="BD117" s="106"/>
    </row>
    <row r="118" spans="1:56" s="301" customFormat="1" ht="12.75">
      <c r="A118" s="519"/>
      <c r="B118" s="325"/>
      <c r="C118" s="501"/>
      <c r="D118" s="502"/>
      <c r="E118" s="502"/>
      <c r="F118" s="503"/>
      <c r="G118" s="325" t="s">
        <v>36</v>
      </c>
      <c r="H118" s="501"/>
      <c r="I118" s="502">
        <v>1.68</v>
      </c>
      <c r="J118" s="502">
        <v>104124</v>
      </c>
      <c r="K118" s="503"/>
      <c r="L118" s="325" t="s">
        <v>36</v>
      </c>
      <c r="M118" s="501"/>
      <c r="N118" s="502"/>
      <c r="O118" s="502"/>
      <c r="P118" s="503"/>
      <c r="Q118" s="325" t="s">
        <v>36</v>
      </c>
      <c r="R118" s="501"/>
      <c r="S118" s="502"/>
      <c r="T118" s="502"/>
      <c r="U118" s="503"/>
      <c r="V118" s="325" t="s">
        <v>36</v>
      </c>
      <c r="W118" s="501"/>
      <c r="X118" s="502">
        <v>0</v>
      </c>
      <c r="Y118" s="502">
        <v>532006</v>
      </c>
      <c r="Z118" s="503"/>
      <c r="AA118" s="325" t="s">
        <v>36</v>
      </c>
      <c r="AB118" s="501"/>
      <c r="AC118" s="502">
        <v>11.03</v>
      </c>
      <c r="AD118" s="502">
        <v>5615</v>
      </c>
      <c r="AF118" s="325" t="s">
        <v>36</v>
      </c>
      <c r="AG118" s="501"/>
      <c r="AH118" s="517">
        <v>6.9</v>
      </c>
      <c r="AI118" s="504">
        <v>253202</v>
      </c>
      <c r="AK118" s="325" t="s">
        <v>36</v>
      </c>
      <c r="AL118" s="501"/>
      <c r="AM118" s="502">
        <v>3.66</v>
      </c>
      <c r="AN118" s="504">
        <v>1533.3333333333333</v>
      </c>
      <c r="AP118" s="325" t="s">
        <v>36</v>
      </c>
      <c r="AQ118" s="501"/>
      <c r="AR118" s="502"/>
      <c r="AS118" s="502"/>
      <c r="AT118" s="503"/>
      <c r="AU118" s="325" t="s">
        <v>36</v>
      </c>
      <c r="AV118" s="501"/>
      <c r="AW118" s="502"/>
      <c r="AX118" s="502"/>
      <c r="AY118" s="503"/>
      <c r="BD118" s="503"/>
    </row>
    <row r="119" spans="1:56" s="301" customFormat="1" ht="12.75">
      <c r="A119" s="519"/>
      <c r="B119" s="505"/>
      <c r="C119" s="506"/>
      <c r="D119" s="507"/>
      <c r="E119" s="507"/>
      <c r="F119" s="503"/>
      <c r="G119" s="505"/>
      <c r="H119" s="506"/>
      <c r="I119" s="507"/>
      <c r="J119" s="507"/>
      <c r="K119" s="503"/>
      <c r="L119" s="505"/>
      <c r="M119" s="506"/>
      <c r="N119" s="507"/>
      <c r="O119" s="507"/>
      <c r="P119" s="503"/>
      <c r="Q119" s="505"/>
      <c r="R119" s="506"/>
      <c r="S119" s="507"/>
      <c r="T119" s="507"/>
      <c r="U119" s="503"/>
      <c r="V119" s="505"/>
      <c r="W119" s="506"/>
      <c r="X119" s="507"/>
      <c r="Y119" s="507"/>
      <c r="Z119" s="503"/>
      <c r="AA119" s="505"/>
      <c r="AB119" s="506"/>
      <c r="AC119" s="507"/>
      <c r="AD119" s="507"/>
      <c r="AF119" s="505"/>
      <c r="AG119" s="506"/>
      <c r="AH119" s="507"/>
      <c r="AI119" s="507"/>
      <c r="AK119" s="505"/>
      <c r="AL119" s="506"/>
      <c r="AM119" s="507"/>
      <c r="AN119" s="507"/>
      <c r="AP119" s="505"/>
      <c r="AQ119" s="506"/>
      <c r="AR119" s="507"/>
      <c r="AS119" s="507"/>
      <c r="AT119" s="503"/>
      <c r="AU119" s="505"/>
      <c r="AV119" s="506"/>
      <c r="AW119" s="507"/>
      <c r="AX119" s="507"/>
      <c r="AY119" s="503"/>
      <c r="BD119" s="503"/>
    </row>
    <row r="120" spans="1:56" s="301" customFormat="1" ht="12.75">
      <c r="A120" s="519"/>
      <c r="B120" s="369"/>
      <c r="C120" s="370"/>
      <c r="D120" s="375"/>
      <c r="E120" s="371"/>
      <c r="F120" s="106"/>
      <c r="G120" s="369"/>
      <c r="H120" s="370"/>
      <c r="I120" s="375"/>
      <c r="J120" s="371"/>
      <c r="K120" s="106"/>
      <c r="L120" s="369"/>
      <c r="M120" s="370"/>
      <c r="N120" s="375"/>
      <c r="O120" s="371"/>
      <c r="P120" s="106"/>
      <c r="Q120" s="369"/>
      <c r="R120" s="370"/>
      <c r="S120" s="375"/>
      <c r="T120" s="371"/>
      <c r="U120" s="106"/>
      <c r="V120" s="369"/>
      <c r="W120" s="370"/>
      <c r="X120" s="375"/>
      <c r="Y120" s="371"/>
      <c r="Z120" s="106"/>
      <c r="AA120" s="369"/>
      <c r="AB120" s="370"/>
      <c r="AC120" s="375"/>
      <c r="AD120" s="371"/>
      <c r="AF120" s="369"/>
      <c r="AG120" s="370"/>
      <c r="AH120" s="375"/>
      <c r="AI120" s="371"/>
      <c r="AK120" s="369"/>
      <c r="AL120" s="370"/>
      <c r="AM120" s="375"/>
      <c r="AN120" s="371"/>
      <c r="AP120" s="369"/>
      <c r="AQ120" s="370"/>
      <c r="AR120" s="375"/>
      <c r="AS120" s="371"/>
      <c r="AT120" s="106"/>
      <c r="AU120" s="369"/>
      <c r="AV120" s="370"/>
      <c r="AW120" s="375"/>
      <c r="AX120" s="371"/>
      <c r="AY120" s="106"/>
      <c r="BD120" s="106"/>
    </row>
    <row r="121" spans="1:49" s="301" customFormat="1" ht="12.75">
      <c r="A121" s="519"/>
      <c r="B121" s="402" t="s">
        <v>381</v>
      </c>
      <c r="C121" s="383"/>
      <c r="D121" s="403">
        <f>SUMPRODUCT(D118:D119,E118:E119)</f>
        <v>0</v>
      </c>
      <c r="G121" s="402" t="s">
        <v>381</v>
      </c>
      <c r="H121" s="383"/>
      <c r="I121" s="403">
        <f>SUMPRODUCT(I118:I119,J118:J119)</f>
        <v>174928.32</v>
      </c>
      <c r="L121" s="402" t="s">
        <v>381</v>
      </c>
      <c r="M121" s="383"/>
      <c r="N121" s="403">
        <f>SUMPRODUCT(N118:N119,O118:O119)</f>
        <v>0</v>
      </c>
      <c r="Q121" s="402" t="s">
        <v>381</v>
      </c>
      <c r="R121" s="383"/>
      <c r="S121" s="403">
        <f>SUMPRODUCT(S118:S119,T118:T119)</f>
        <v>0</v>
      </c>
      <c r="V121" s="402" t="s">
        <v>381</v>
      </c>
      <c r="W121" s="383"/>
      <c r="X121" s="403">
        <f>SUMPRODUCT(X118:X119,Y118:Y119)</f>
        <v>0</v>
      </c>
      <c r="AA121" s="402" t="s">
        <v>381</v>
      </c>
      <c r="AB121" s="383"/>
      <c r="AC121" s="403">
        <f>SUMPRODUCT(AC118:AC119,AD118:AD119)</f>
        <v>61933.45</v>
      </c>
      <c r="AF121" s="402" t="s">
        <v>381</v>
      </c>
      <c r="AG121" s="383"/>
      <c r="AH121" s="403">
        <f>SUMPRODUCT(AH118:AH119,AI118:AI119)</f>
        <v>1747093.8</v>
      </c>
      <c r="AK121" s="402" t="s">
        <v>381</v>
      </c>
      <c r="AL121" s="383"/>
      <c r="AM121" s="403">
        <f>SUMPRODUCT(AM118:AM119,AN118:AN119)</f>
        <v>5612</v>
      </c>
      <c r="AN121" s="404"/>
      <c r="AP121" s="402" t="s">
        <v>381</v>
      </c>
      <c r="AQ121" s="383"/>
      <c r="AR121" s="403">
        <f>SUMPRODUCT(AR118:AR119,AS118:AS119)</f>
        <v>0</v>
      </c>
      <c r="AU121" s="402" t="s">
        <v>381</v>
      </c>
      <c r="AV121" s="383"/>
      <c r="AW121" s="403">
        <f>SUMPRODUCT(AW118:AW119,AX118:AX119)</f>
        <v>0</v>
      </c>
    </row>
    <row r="122" spans="1:49" s="301" customFormat="1" ht="12.75">
      <c r="A122" s="519"/>
      <c r="B122" s="498"/>
      <c r="C122" s="169"/>
      <c r="D122" s="499"/>
      <c r="G122" s="498"/>
      <c r="H122" s="169"/>
      <c r="I122" s="499"/>
      <c r="L122" s="498"/>
      <c r="M122" s="169"/>
      <c r="N122" s="499"/>
      <c r="Q122" s="498"/>
      <c r="R122" s="169"/>
      <c r="S122" s="499"/>
      <c r="V122" s="498"/>
      <c r="W122" s="169"/>
      <c r="X122" s="499"/>
      <c r="AA122" s="498"/>
      <c r="AB122" s="169"/>
      <c r="AC122" s="499"/>
      <c r="AF122" s="498"/>
      <c r="AG122" s="169"/>
      <c r="AH122" s="499"/>
      <c r="AK122" s="498"/>
      <c r="AL122" s="169"/>
      <c r="AM122" s="499"/>
      <c r="AN122" s="404"/>
      <c r="AP122" s="498"/>
      <c r="AQ122" s="169"/>
      <c r="AR122" s="499"/>
      <c r="AU122" s="498"/>
      <c r="AV122" s="169"/>
      <c r="AW122" s="499"/>
    </row>
    <row r="123" ht="12.75">
      <c r="AK123" s="392"/>
    </row>
    <row r="124" spans="2:47" s="301" customFormat="1" ht="12.75">
      <c r="B124" s="103" t="s">
        <v>139</v>
      </c>
      <c r="G124" s="103" t="s">
        <v>58</v>
      </c>
      <c r="L124" s="103" t="s">
        <v>141</v>
      </c>
      <c r="Q124" s="103" t="s">
        <v>388</v>
      </c>
      <c r="V124" s="103" t="s">
        <v>142</v>
      </c>
      <c r="AA124" s="103" t="s">
        <v>143</v>
      </c>
      <c r="AF124" s="103" t="s">
        <v>140</v>
      </c>
      <c r="AK124" s="103" t="s">
        <v>59</v>
      </c>
      <c r="AP124" s="103" t="s">
        <v>256</v>
      </c>
      <c r="AU124" s="103" t="s">
        <v>177</v>
      </c>
    </row>
    <row r="125" spans="2:50" s="301" customFormat="1" ht="12.75">
      <c r="B125" s="382"/>
      <c r="C125" s="383"/>
      <c r="D125" s="104" t="s">
        <v>346</v>
      </c>
      <c r="E125" s="105" t="s">
        <v>347</v>
      </c>
      <c r="G125" s="382"/>
      <c r="H125" s="383"/>
      <c r="I125" s="104" t="s">
        <v>346</v>
      </c>
      <c r="J125" s="105" t="s">
        <v>347</v>
      </c>
      <c r="L125" s="382"/>
      <c r="M125" s="383"/>
      <c r="N125" s="104" t="s">
        <v>346</v>
      </c>
      <c r="O125" s="105" t="s">
        <v>347</v>
      </c>
      <c r="Q125" s="382"/>
      <c r="R125" s="383"/>
      <c r="S125" s="104" t="s">
        <v>346</v>
      </c>
      <c r="T125" s="105" t="s">
        <v>347</v>
      </c>
      <c r="V125" s="382"/>
      <c r="W125" s="383"/>
      <c r="X125" s="104" t="s">
        <v>346</v>
      </c>
      <c r="Y125" s="105" t="s">
        <v>347</v>
      </c>
      <c r="AA125" s="382"/>
      <c r="AB125" s="383"/>
      <c r="AC125" s="104" t="s">
        <v>346</v>
      </c>
      <c r="AD125" s="105" t="s">
        <v>347</v>
      </c>
      <c r="AF125" s="382"/>
      <c r="AG125" s="383"/>
      <c r="AH125" s="104" t="s">
        <v>346</v>
      </c>
      <c r="AI125" s="105" t="s">
        <v>347</v>
      </c>
      <c r="AK125" s="382"/>
      <c r="AL125" s="383"/>
      <c r="AM125" s="104" t="s">
        <v>346</v>
      </c>
      <c r="AN125" s="105" t="s">
        <v>347</v>
      </c>
      <c r="AP125" s="382"/>
      <c r="AQ125" s="383"/>
      <c r="AR125" s="104" t="s">
        <v>346</v>
      </c>
      <c r="AS125" s="105" t="s">
        <v>347</v>
      </c>
      <c r="AU125" s="382"/>
      <c r="AV125" s="383"/>
      <c r="AW125" s="104" t="s">
        <v>346</v>
      </c>
      <c r="AX125" s="105" t="s">
        <v>347</v>
      </c>
    </row>
    <row r="126" spans="2:56" s="301" customFormat="1" ht="12.75">
      <c r="B126" s="509" t="s">
        <v>348</v>
      </c>
      <c r="C126" s="510"/>
      <c r="D126" s="327">
        <f>D108</f>
        <v>4.59</v>
      </c>
      <c r="E126" s="406">
        <f>E108</f>
        <v>21440</v>
      </c>
      <c r="F126" s="200"/>
      <c r="G126" s="509" t="s">
        <v>348</v>
      </c>
      <c r="H126" s="510"/>
      <c r="I126" s="327">
        <f>I109</f>
        <v>2.28</v>
      </c>
      <c r="J126" s="406">
        <f>J109</f>
        <v>81115.33333333333</v>
      </c>
      <c r="K126" s="200"/>
      <c r="L126" s="509" t="s">
        <v>348</v>
      </c>
      <c r="M126" s="510"/>
      <c r="N126" s="327">
        <f>N109</f>
        <v>3.53</v>
      </c>
      <c r="O126" s="406">
        <f>O109</f>
        <v>874277</v>
      </c>
      <c r="P126" s="200"/>
      <c r="Q126" s="509" t="s">
        <v>348</v>
      </c>
      <c r="R126" s="510"/>
      <c r="S126" s="327">
        <f>S103</f>
        <v>6.6</v>
      </c>
      <c r="T126" s="406">
        <f>T103</f>
        <v>40214.5</v>
      </c>
      <c r="U126" s="200"/>
      <c r="V126" s="509" t="s">
        <v>348</v>
      </c>
      <c r="W126" s="510"/>
      <c r="X126" s="327">
        <f>X107</f>
        <v>8.4</v>
      </c>
      <c r="Y126" s="406">
        <f>Y107</f>
        <v>713241</v>
      </c>
      <c r="Z126" s="200"/>
      <c r="AA126" s="509" t="s">
        <v>348</v>
      </c>
      <c r="AB126" s="510"/>
      <c r="AC126" s="327">
        <f>AC105</f>
        <v>10.5</v>
      </c>
      <c r="AD126" s="406">
        <f>AD105</f>
        <v>17296</v>
      </c>
      <c r="AE126" s="200"/>
      <c r="AF126" s="509" t="s">
        <v>348</v>
      </c>
      <c r="AG126" s="510"/>
      <c r="AH126" s="327">
        <f>AH105</f>
        <v>8.551764331885133</v>
      </c>
      <c r="AI126" s="406">
        <f>AI105</f>
        <v>726649</v>
      </c>
      <c r="AK126" s="509" t="s">
        <v>348</v>
      </c>
      <c r="AL126" s="510"/>
      <c r="AM126" s="327">
        <f>AM113</f>
        <v>2.43</v>
      </c>
      <c r="AN126" s="406">
        <f>AN113</f>
        <v>22644</v>
      </c>
      <c r="AP126" s="509" t="s">
        <v>348</v>
      </c>
      <c r="AQ126" s="510"/>
      <c r="AR126" s="327">
        <f>AR103</f>
        <v>3.53</v>
      </c>
      <c r="AS126" s="406">
        <f>AS103</f>
        <v>14987</v>
      </c>
      <c r="AT126" s="200"/>
      <c r="AU126" s="509" t="s">
        <v>348</v>
      </c>
      <c r="AV126" s="510"/>
      <c r="AW126" s="327">
        <f>AW106</f>
        <v>2.28</v>
      </c>
      <c r="AX126" s="406">
        <f>AX106</f>
        <v>8347</v>
      </c>
      <c r="BD126" s="200"/>
    </row>
    <row r="127" spans="2:56" s="301" customFormat="1" ht="12.75">
      <c r="B127" s="509" t="s">
        <v>349</v>
      </c>
      <c r="C127" s="510"/>
      <c r="D127" s="342">
        <f>SUMPRODUCT(D106:D107,E106:E107)/SUM(E106:E107)</f>
        <v>13.14</v>
      </c>
      <c r="E127" s="407">
        <f>SUM(E106:E107)</f>
        <v>49054</v>
      </c>
      <c r="F127" s="200"/>
      <c r="G127" s="509" t="s">
        <v>349</v>
      </c>
      <c r="H127" s="510"/>
      <c r="I127" s="342">
        <f>SUMPRODUCT(I107:I108,J107:J108)/SUM(J107:J108)</f>
        <v>21.96</v>
      </c>
      <c r="J127" s="407">
        <f>SUM(J107:J108)</f>
        <v>187350.65083333338</v>
      </c>
      <c r="K127" s="200"/>
      <c r="L127" s="509" t="s">
        <v>349</v>
      </c>
      <c r="M127" s="510"/>
      <c r="N127" s="342">
        <f>SUMPRODUCT(N107:N108,O107:O108)/SUM(O107:O108)</f>
        <v>29.200000000000003</v>
      </c>
      <c r="O127" s="407">
        <f>SUM(O107:O108)</f>
        <v>2357951</v>
      </c>
      <c r="P127" s="200"/>
      <c r="Q127" s="509" t="s">
        <v>349</v>
      </c>
      <c r="R127" s="510"/>
      <c r="S127" s="342">
        <f>SUMPRODUCT(S101:S102,T101:T102)/SUM(T101:T102)</f>
        <v>13.800000000000002</v>
      </c>
      <c r="T127" s="407">
        <f>SUM(T101:T102)</f>
        <v>95165.14675916571</v>
      </c>
      <c r="U127" s="200"/>
      <c r="V127" s="509" t="s">
        <v>349</v>
      </c>
      <c r="W127" s="510"/>
      <c r="X127" s="342">
        <f>SUMPRODUCT(X105:X106,Y105:Y106)/SUM(Y105:Y106)</f>
        <v>15.96000045536027</v>
      </c>
      <c r="Y127" s="407">
        <f>SUM(Y105:Y106)</f>
        <v>2635276.1177361207</v>
      </c>
      <c r="Z127" s="200"/>
      <c r="AA127" s="509" t="s">
        <v>349</v>
      </c>
      <c r="AB127" s="510"/>
      <c r="AC127" s="342">
        <f>SUMPRODUCT(AC103:AC104,AD103:AD104)/SUM(AD103:AD104)</f>
        <v>21.1</v>
      </c>
      <c r="AD127" s="407">
        <f>SUM(AD103:AD104)</f>
        <v>29252.6</v>
      </c>
      <c r="AE127" s="200"/>
      <c r="AF127" s="509" t="s">
        <v>349</v>
      </c>
      <c r="AG127" s="510"/>
      <c r="AH127" s="342">
        <f>SUMPRODUCT(AH103:AH104,AI103:AI104)/SUM(AI103:AI104)</f>
        <v>19.420551565362466</v>
      </c>
      <c r="AI127" s="407">
        <f>SUM(AI103:AI104)</f>
        <v>1766882.4124027686</v>
      </c>
      <c r="AK127" s="509" t="s">
        <v>349</v>
      </c>
      <c r="AL127" s="510"/>
      <c r="AM127" s="342">
        <f>AM112</f>
        <v>12.81</v>
      </c>
      <c r="AN127" s="407">
        <f>AN112</f>
        <v>45318.28727556596</v>
      </c>
      <c r="AP127" s="509" t="s">
        <v>349</v>
      </c>
      <c r="AQ127" s="510"/>
      <c r="AR127" s="342">
        <f>SUMPRODUCT(AR101:AR102,AS101:AS102)/SUM(AS101:AS102)</f>
        <v>29.199999999999996</v>
      </c>
      <c r="AS127" s="407">
        <f>SUM(AS101:AS102)</f>
        <v>44399</v>
      </c>
      <c r="AT127" s="200"/>
      <c r="AU127" s="509" t="s">
        <v>349</v>
      </c>
      <c r="AV127" s="510"/>
      <c r="AW127" s="342">
        <f>SUMPRODUCT(AW104:AW105,AX104:AX105)/SUM(AX104:AX105)</f>
        <v>7.559999999999999</v>
      </c>
      <c r="AX127" s="407">
        <f>SUM(AX104:AX105)</f>
        <v>35091</v>
      </c>
      <c r="BD127" s="200"/>
    </row>
    <row r="128" spans="2:56" s="301" customFormat="1" ht="12.75">
      <c r="B128" s="509" t="s">
        <v>350</v>
      </c>
      <c r="C128" s="510"/>
      <c r="D128" s="352">
        <f>SUMPRODUCT(D104:D105,E104:E105)/SUM(E104:E105)</f>
        <v>13.139999999999999</v>
      </c>
      <c r="E128" s="408">
        <f>SUM(E104:E105)</f>
        <v>1570</v>
      </c>
      <c r="F128" s="200"/>
      <c r="G128" s="509" t="s">
        <v>350</v>
      </c>
      <c r="H128" s="510"/>
      <c r="I128" s="352">
        <f>SUMPRODUCT(I105:I106,J105:J106)/SUM(J105:J106)</f>
        <v>36.24</v>
      </c>
      <c r="J128" s="408">
        <f>SUM(J105:J106)</f>
        <v>7671.725833333333</v>
      </c>
      <c r="K128" s="200"/>
      <c r="L128" s="509" t="s">
        <v>350</v>
      </c>
      <c r="M128" s="510"/>
      <c r="N128" s="352">
        <f>SUMPRODUCT(N105:N106,O105:O106)/SUM(O105:O106)</f>
        <v>33.3</v>
      </c>
      <c r="O128" s="408">
        <f>SUM(O105:O106)</f>
        <v>63442</v>
      </c>
      <c r="P128" s="200"/>
      <c r="Q128" s="509" t="s">
        <v>350</v>
      </c>
      <c r="R128" s="510"/>
      <c r="S128" s="352">
        <f>SUMPRODUCT(S99:S100,T99:T100)/SUM(T99:T100)</f>
        <v>13.8</v>
      </c>
      <c r="T128" s="408">
        <f>SUM(T99:T100)</f>
        <v>2922.9804776196197</v>
      </c>
      <c r="U128" s="200"/>
      <c r="V128" s="509" t="s">
        <v>350</v>
      </c>
      <c r="W128" s="510"/>
      <c r="X128" s="352">
        <f>SUMPRODUCT(X103:X104,Y103:Y104)/SUM(Y103:Y104)</f>
        <v>26.183136327797904</v>
      </c>
      <c r="Y128" s="408">
        <f>SUM(Y103:Y104)</f>
        <v>109906.48324174318</v>
      </c>
      <c r="Z128" s="200"/>
      <c r="AA128" s="509" t="s">
        <v>350</v>
      </c>
      <c r="AB128" s="510"/>
      <c r="AC128" s="352">
        <f>SUMPRODUCT(AC101:AC102,AD101:AD102)/SUM(AD101:AD102)</f>
        <v>34.5</v>
      </c>
      <c r="AD128" s="408">
        <f>SUM(AD101:AD102)</f>
        <v>1084.5</v>
      </c>
      <c r="AE128" s="200"/>
      <c r="AF128" s="509" t="s">
        <v>350</v>
      </c>
      <c r="AG128" s="510"/>
      <c r="AH128" s="352">
        <f>SUMPRODUCT(AH101:AH102,AI101:AI102)/SUM(AI101:AI102)</f>
        <v>39.02463723237588</v>
      </c>
      <c r="AI128" s="408">
        <f>SUM(AI101:AI102)</f>
        <v>65706.87601094936</v>
      </c>
      <c r="AK128" s="509" t="s">
        <v>350</v>
      </c>
      <c r="AL128" s="510"/>
      <c r="AM128" s="352">
        <f>SUMPRODUCT(AM108:AM111,AN108:AN111)/SUM(AN108:AN111)</f>
        <v>34.60945451639313</v>
      </c>
      <c r="AN128" s="408">
        <f>SUM(AN108:AN111)</f>
        <v>4410.18389831015</v>
      </c>
      <c r="AP128" s="509" t="s">
        <v>350</v>
      </c>
      <c r="AQ128" s="510"/>
      <c r="AR128" s="352">
        <f>AR100</f>
        <v>33.3</v>
      </c>
      <c r="AS128" s="408">
        <f>AS100</f>
        <v>1530</v>
      </c>
      <c r="AT128" s="200"/>
      <c r="AU128" s="509" t="s">
        <v>350</v>
      </c>
      <c r="AV128" s="510"/>
      <c r="AW128" s="352">
        <f>SUMPRODUCT(AW102:AW103,AX102:AX103)/SUM(AX102:AX103)</f>
        <v>7.56</v>
      </c>
      <c r="AX128" s="408">
        <f>SUM(AX102:AX103)</f>
        <v>1870</v>
      </c>
      <c r="BD128" s="200"/>
    </row>
    <row r="129" spans="2:56" s="301" customFormat="1" ht="12.75">
      <c r="B129" s="509" t="s">
        <v>341</v>
      </c>
      <c r="C129" s="510"/>
      <c r="D129" s="361">
        <f>SUMPRODUCT(D102:D103,E102:E103)/SUM(E102:E103)</f>
        <v>123.33840725806449</v>
      </c>
      <c r="E129" s="409">
        <f>SUM(E102:E103)</f>
        <v>496</v>
      </c>
      <c r="F129" s="200"/>
      <c r="G129" s="509" t="s">
        <v>341</v>
      </c>
      <c r="H129" s="510"/>
      <c r="I129" s="361">
        <f>SUMPRODUCT(I103:I104,J103:J104)/SUM(J103:J104)</f>
        <v>120.34263424317619</v>
      </c>
      <c r="J129" s="409">
        <f>SUM(J103:J104)</f>
        <v>1679.1666666666667</v>
      </c>
      <c r="K129" s="200"/>
      <c r="L129" s="509" t="s">
        <v>341</v>
      </c>
      <c r="M129" s="510"/>
      <c r="N129" s="361">
        <f>SUMPRODUCT(N103:N104,O103:O104)/SUM(O103:O104)</f>
        <v>158</v>
      </c>
      <c r="O129" s="409">
        <f>SUM(O103:O104)</f>
        <v>31578</v>
      </c>
      <c r="P129" s="200"/>
      <c r="Q129" s="509" t="s">
        <v>341</v>
      </c>
      <c r="R129" s="510"/>
      <c r="S129" s="361">
        <f>S98</f>
        <v>205.2</v>
      </c>
      <c r="T129" s="409">
        <f>T98</f>
        <v>739.7711606757068</v>
      </c>
      <c r="U129" s="200"/>
      <c r="V129" s="509" t="s">
        <v>341</v>
      </c>
      <c r="W129" s="510"/>
      <c r="X129" s="361">
        <f>SUMPRODUCT(X101:X102,Y101:Y102)/SUM(Y101:Y102)</f>
        <v>101.19402985074628</v>
      </c>
      <c r="Y129" s="409">
        <f>SUM(Y101:Y102)</f>
        <v>13735</v>
      </c>
      <c r="Z129" s="200"/>
      <c r="AA129" s="509" t="s">
        <v>341</v>
      </c>
      <c r="AB129" s="510"/>
      <c r="AC129" s="361">
        <f>SUMPRODUCT(AC99:AC100,AD99:AD100)/SUM(AD99:AD100)</f>
        <v>102.89874593590338</v>
      </c>
      <c r="AD129" s="409">
        <f>SUM(AD99:AD100)</f>
        <v>215.3</v>
      </c>
      <c r="AE129" s="200"/>
      <c r="AF129" s="509" t="s">
        <v>341</v>
      </c>
      <c r="AG129" s="510"/>
      <c r="AH129" s="361">
        <f>SUMPRODUCT(AH99:AH100,AI99:AI100)/SUM(AI99:AI100)</f>
        <v>131.11339125880747</v>
      </c>
      <c r="AI129" s="409">
        <f>SUM(AI99:AI100)</f>
        <v>17128.136023627903</v>
      </c>
      <c r="AK129" s="509" t="s">
        <v>341</v>
      </c>
      <c r="AL129" s="510"/>
      <c r="AM129" s="361">
        <f>SUMPRODUCT(AM101:AM107,AN101:AN107)/SUM(AN101:AN107)</f>
        <v>160.78682554639434</v>
      </c>
      <c r="AN129" s="409">
        <f>SUM(AN101:AN107)</f>
        <v>1204.9875118390762</v>
      </c>
      <c r="AP129" s="509" t="s">
        <v>341</v>
      </c>
      <c r="AQ129" s="510"/>
      <c r="AR129" s="361">
        <f>AR99</f>
        <v>158</v>
      </c>
      <c r="AS129" s="409">
        <f>AS99</f>
        <v>285</v>
      </c>
      <c r="AT129" s="200"/>
      <c r="AU129" s="509" t="s">
        <v>341</v>
      </c>
      <c r="AV129" s="510"/>
      <c r="AW129" s="361">
        <f>SUMPRODUCT(AW100:AW101,AX100:AX101)/SUM(AX100:AX101)</f>
        <v>31.741368078175892</v>
      </c>
      <c r="AX129" s="409">
        <f>SUM(AX100:AX101)</f>
        <v>307</v>
      </c>
      <c r="BD129" s="200"/>
    </row>
    <row r="130" spans="2:56" s="301" customFormat="1" ht="12.75">
      <c r="B130" s="509" t="s">
        <v>343</v>
      </c>
      <c r="C130" s="510"/>
      <c r="D130" s="380">
        <f>D101</f>
        <v>328.26</v>
      </c>
      <c r="E130" s="410">
        <f>E101</f>
        <v>31</v>
      </c>
      <c r="F130" s="200"/>
      <c r="G130" s="509" t="s">
        <v>343</v>
      </c>
      <c r="H130" s="510"/>
      <c r="I130" s="380">
        <f>SUMPRODUCT(I101:I102,J101:J102)/SUM(J101:J102)</f>
        <v>1045.44</v>
      </c>
      <c r="J130" s="410">
        <f>SUM(J101:J102)</f>
        <v>315.25</v>
      </c>
      <c r="K130" s="200"/>
      <c r="L130" s="509" t="s">
        <v>343</v>
      </c>
      <c r="M130" s="510"/>
      <c r="N130" s="380">
        <f>SUMPRODUCT(N101:N102,O101:O102)/SUM(O101:O102)</f>
        <v>674.9651357693597</v>
      </c>
      <c r="O130" s="410">
        <f>SUM(O101:O102)</f>
        <v>8949</v>
      </c>
      <c r="P130" s="200"/>
      <c r="Q130" s="509" t="s">
        <v>343</v>
      </c>
      <c r="R130" s="510"/>
      <c r="S130" s="380">
        <f>S97</f>
        <v>589.56</v>
      </c>
      <c r="T130" s="410">
        <f>T97</f>
        <v>581.1253609057519</v>
      </c>
      <c r="U130" s="200"/>
      <c r="V130" s="509" t="s">
        <v>343</v>
      </c>
      <c r="W130" s="510"/>
      <c r="X130" s="380">
        <f>X100</f>
        <v>626.2090032154341</v>
      </c>
      <c r="Y130" s="410">
        <f>Y100</f>
        <v>11818</v>
      </c>
      <c r="Z130" s="200"/>
      <c r="AA130" s="509" t="s">
        <v>343</v>
      </c>
      <c r="AB130" s="510"/>
      <c r="AC130" s="380">
        <f>SUMPRODUCT(AC97:AC98,AD97:AD98)/SUM(AD97:AD98)</f>
        <v>474.7</v>
      </c>
      <c r="AD130" s="410">
        <f>SUM(AD97:AD98)</f>
        <v>20</v>
      </c>
      <c r="AE130" s="200"/>
      <c r="AF130" s="509" t="s">
        <v>343</v>
      </c>
      <c r="AG130" s="510"/>
      <c r="AH130" s="380">
        <f>SUMPRODUCT(AH97:AH98,AI97:AI98)/SUM(AI97:AI98)</f>
        <v>823.910927106233</v>
      </c>
      <c r="AI130" s="410">
        <f>SUM(AI97:AI98)</f>
        <v>2805.4379714543707</v>
      </c>
      <c r="AK130" s="509" t="s">
        <v>343</v>
      </c>
      <c r="AL130" s="510"/>
      <c r="AM130" s="380">
        <f>SUMPRODUCT(AM98:AM100,AN98:AN100)/SUM(AN98:AN100)</f>
        <v>1093.949638350381</v>
      </c>
      <c r="AN130" s="410">
        <f>SUM(AN98:AN100)</f>
        <v>178.16782899230827</v>
      </c>
      <c r="AP130" s="509" t="s">
        <v>343</v>
      </c>
      <c r="AQ130" s="510"/>
      <c r="AR130" s="380">
        <f>AR98</f>
        <v>629</v>
      </c>
      <c r="AS130" s="410">
        <f>AS98</f>
        <v>73</v>
      </c>
      <c r="AT130" s="200"/>
      <c r="AU130" s="509" t="s">
        <v>343</v>
      </c>
      <c r="AV130" s="510"/>
      <c r="AW130" s="380">
        <f>AW99</f>
        <v>978</v>
      </c>
      <c r="AX130" s="410">
        <f>AX99</f>
        <v>23</v>
      </c>
      <c r="BD130" s="200"/>
    </row>
    <row r="131" spans="2:56" s="301" customFormat="1" ht="12.75">
      <c r="B131" s="511" t="s">
        <v>345</v>
      </c>
      <c r="C131" s="512"/>
      <c r="D131" s="513"/>
      <c r="E131" s="514"/>
      <c r="F131" s="200"/>
      <c r="G131" s="511" t="s">
        <v>345</v>
      </c>
      <c r="H131" s="512"/>
      <c r="I131" s="513">
        <f>SUMPRODUCT(I97:I100,J97:J100)/SUM(J97:J100)</f>
        <v>6966.359999999999</v>
      </c>
      <c r="J131" s="514">
        <f>SUM(J97:J100)</f>
        <v>10</v>
      </c>
      <c r="K131" s="200"/>
      <c r="L131" s="511" t="s">
        <v>345</v>
      </c>
      <c r="M131" s="512"/>
      <c r="N131" s="513">
        <f>SUMPRODUCT(N97:N100,O97:O100)/SUM(O97:O100)</f>
        <v>1977.0000000000002</v>
      </c>
      <c r="O131" s="514">
        <f>SUM(O97:O100)</f>
        <v>154.79244723410102</v>
      </c>
      <c r="P131" s="200"/>
      <c r="Q131" s="511" t="s">
        <v>345</v>
      </c>
      <c r="R131" s="512"/>
      <c r="S131" s="513"/>
      <c r="T131" s="514"/>
      <c r="U131" s="200"/>
      <c r="V131" s="511" t="s">
        <v>345</v>
      </c>
      <c r="W131" s="512"/>
      <c r="X131" s="513">
        <f>SUMPRODUCT(X97:X99,Y97:Y99)/SUM(Y97:Y99)</f>
        <v>7294.363636363636</v>
      </c>
      <c r="Y131" s="514">
        <f>SUM(Y97:Y99)</f>
        <v>165</v>
      </c>
      <c r="Z131" s="200"/>
      <c r="AA131" s="511" t="s">
        <v>345</v>
      </c>
      <c r="AB131" s="512"/>
      <c r="AC131" s="513"/>
      <c r="AD131" s="514"/>
      <c r="AE131" s="200"/>
      <c r="AF131" s="511" t="s">
        <v>345</v>
      </c>
      <c r="AG131" s="512"/>
      <c r="AH131" s="513"/>
      <c r="AI131" s="514"/>
      <c r="AK131" s="511" t="s">
        <v>345</v>
      </c>
      <c r="AL131" s="512"/>
      <c r="AM131" s="513">
        <f>AM97</f>
        <v>4868.93</v>
      </c>
      <c r="AN131" s="514">
        <f>AN97</f>
        <v>16.858060927577267</v>
      </c>
      <c r="AP131" s="511" t="s">
        <v>345</v>
      </c>
      <c r="AQ131" s="512"/>
      <c r="AR131" s="513">
        <f>AR97</f>
        <v>1981</v>
      </c>
      <c r="AS131" s="514">
        <f>AS97</f>
        <v>19</v>
      </c>
      <c r="AT131" s="200"/>
      <c r="AU131" s="511" t="s">
        <v>345</v>
      </c>
      <c r="AV131" s="512"/>
      <c r="AW131" s="513">
        <f>SUMPRODUCT(AW97:AW98,AX97:AX98)/SUM(AX97:AX98)</f>
        <v>2247</v>
      </c>
      <c r="AX131" s="514">
        <f>SUM(AX97:AX98)</f>
        <v>2</v>
      </c>
      <c r="BD131" s="200"/>
    </row>
    <row r="132" spans="2:56" s="318" customFormat="1" ht="12.75">
      <c r="B132" s="515" t="s">
        <v>381</v>
      </c>
      <c r="C132" s="516"/>
      <c r="D132" s="413">
        <f>SUMPRODUCT(D126:D131,E126:E131)</f>
        <v>834960.8700000001</v>
      </c>
      <c r="E132" s="414"/>
      <c r="F132" s="195"/>
      <c r="G132" s="515" t="s">
        <v>381</v>
      </c>
      <c r="H132" s="516"/>
      <c r="I132" s="413">
        <f>SUMPRODUCT(I126:I131,J126:J131)</f>
        <v>5178500.496500001</v>
      </c>
      <c r="J132" s="414"/>
      <c r="K132" s="195"/>
      <c r="L132" s="515" t="s">
        <v>381</v>
      </c>
      <c r="M132" s="516"/>
      <c r="N132" s="413">
        <f>SUMPRODUCT(N126:N131,O126:O131)</f>
        <v>85386597.27818182</v>
      </c>
      <c r="O132" s="414"/>
      <c r="P132" s="195"/>
      <c r="Q132" s="515" t="s">
        <v>381</v>
      </c>
      <c r="R132" s="516"/>
      <c r="S132" s="413">
        <f>SUMPRODUCT(S126:S131,T126:T131)</f>
        <v>2113441.165813888</v>
      </c>
      <c r="T132" s="414"/>
      <c r="U132" s="195"/>
      <c r="V132" s="515" t="s">
        <v>381</v>
      </c>
      <c r="W132" s="516"/>
      <c r="X132" s="413">
        <f>SUMPRODUCT(X126:X131,Y126:Y131)</f>
        <v>60921936.87309592</v>
      </c>
      <c r="Y132" s="414"/>
      <c r="Z132" s="195"/>
      <c r="AA132" s="515" t="s">
        <v>381</v>
      </c>
      <c r="AB132" s="516"/>
      <c r="AC132" s="413">
        <f>SUMPRODUCT(AC126:AC131,AD126:AD131)</f>
        <v>867901.21</v>
      </c>
      <c r="AD132" s="414"/>
      <c r="AE132" s="195"/>
      <c r="AF132" s="515" t="s">
        <v>381</v>
      </c>
      <c r="AG132" s="516"/>
      <c r="AH132" s="413">
        <f>SUMPRODUCT(AH126:AH131,AI126:AI131)</f>
        <v>47649308</v>
      </c>
      <c r="AI132" s="414"/>
      <c r="AK132" s="515" t="s">
        <v>381</v>
      </c>
      <c r="AL132" s="516"/>
      <c r="AM132" s="413">
        <f>SUMPRODUCT(AM126:AM131,AN126:AN131)</f>
        <v>1258919.7065730647</v>
      </c>
      <c r="AN132" s="414"/>
      <c r="AP132" s="515" t="s">
        <v>381</v>
      </c>
      <c r="AQ132" s="516"/>
      <c r="AR132" s="413">
        <f>SUMPRODUCT(AR126:AR131,AS126:AS131)</f>
        <v>1528889.91</v>
      </c>
      <c r="AS132" s="414"/>
      <c r="AT132" s="195"/>
      <c r="AU132" s="515" t="s">
        <v>381</v>
      </c>
      <c r="AV132" s="516"/>
      <c r="AW132" s="413">
        <f>SUMPRODUCT(AW126:AW131,AX126:AX131)</f>
        <v>335188.9199999999</v>
      </c>
      <c r="AX132" s="414"/>
      <c r="BD132" s="195"/>
    </row>
    <row r="133" spans="1:40" s="301" customFormat="1" ht="12.75">
      <c r="A133" s="318"/>
      <c r="B133" s="498"/>
      <c r="C133" s="169"/>
      <c r="D133" s="499"/>
      <c r="G133" s="498"/>
      <c r="H133" s="169"/>
      <c r="I133" s="499"/>
      <c r="L133" s="498"/>
      <c r="M133" s="169"/>
      <c r="N133" s="499"/>
      <c r="Q133" s="498"/>
      <c r="R133" s="169"/>
      <c r="S133" s="499"/>
      <c r="V133" s="498"/>
      <c r="W133" s="169"/>
      <c r="X133" s="499"/>
      <c r="AA133" s="498"/>
      <c r="AB133" s="169"/>
      <c r="AC133" s="499"/>
      <c r="AF133" s="498"/>
      <c r="AG133" s="169"/>
      <c r="AH133" s="499"/>
      <c r="AK133" s="498"/>
      <c r="AL133" s="169"/>
      <c r="AM133" s="499"/>
      <c r="AN133" s="404"/>
    </row>
    <row r="134" spans="1:56" s="301" customFormat="1" ht="12.75">
      <c r="A134" s="189"/>
      <c r="B134" s="320" t="s">
        <v>37</v>
      </c>
      <c r="C134" s="321"/>
      <c r="D134" s="320" t="s">
        <v>346</v>
      </c>
      <c r="E134" s="500" t="s">
        <v>347</v>
      </c>
      <c r="F134" s="106"/>
      <c r="G134" s="320" t="s">
        <v>37</v>
      </c>
      <c r="H134" s="321"/>
      <c r="I134" s="320" t="s">
        <v>346</v>
      </c>
      <c r="J134" s="500" t="s">
        <v>347</v>
      </c>
      <c r="K134" s="106"/>
      <c r="L134" s="320" t="s">
        <v>37</v>
      </c>
      <c r="M134" s="321"/>
      <c r="N134" s="320" t="s">
        <v>346</v>
      </c>
      <c r="O134" s="500" t="s">
        <v>347</v>
      </c>
      <c r="P134" s="106"/>
      <c r="Q134" s="320" t="s">
        <v>37</v>
      </c>
      <c r="R134" s="321"/>
      <c r="S134" s="320" t="s">
        <v>346</v>
      </c>
      <c r="T134" s="500" t="s">
        <v>347</v>
      </c>
      <c r="U134" s="106"/>
      <c r="V134" s="320" t="s">
        <v>37</v>
      </c>
      <c r="W134" s="321"/>
      <c r="X134" s="320" t="s">
        <v>346</v>
      </c>
      <c r="Y134" s="500" t="s">
        <v>347</v>
      </c>
      <c r="Z134" s="106"/>
      <c r="AA134" s="320" t="s">
        <v>37</v>
      </c>
      <c r="AB134" s="321"/>
      <c r="AC134" s="320" t="s">
        <v>346</v>
      </c>
      <c r="AD134" s="500" t="s">
        <v>347</v>
      </c>
      <c r="AF134" s="320" t="s">
        <v>37</v>
      </c>
      <c r="AG134" s="321"/>
      <c r="AH134" s="320" t="s">
        <v>346</v>
      </c>
      <c r="AI134" s="500" t="s">
        <v>347</v>
      </c>
      <c r="AK134" s="320" t="s">
        <v>37</v>
      </c>
      <c r="AL134" s="321"/>
      <c r="AM134" s="320" t="s">
        <v>346</v>
      </c>
      <c r="AN134" s="500" t="s">
        <v>347</v>
      </c>
      <c r="AP134" s="320" t="s">
        <v>37</v>
      </c>
      <c r="AQ134" s="321"/>
      <c r="AR134" s="320" t="s">
        <v>346</v>
      </c>
      <c r="AS134" s="500" t="s">
        <v>347</v>
      </c>
      <c r="AU134" s="320" t="s">
        <v>37</v>
      </c>
      <c r="AV134" s="321"/>
      <c r="AW134" s="320" t="s">
        <v>346</v>
      </c>
      <c r="AX134" s="500" t="s">
        <v>347</v>
      </c>
      <c r="BD134" s="106"/>
    </row>
    <row r="135" spans="1:56" s="301" customFormat="1" ht="12.75">
      <c r="A135" s="189"/>
      <c r="B135" s="325" t="s">
        <v>36</v>
      </c>
      <c r="C135" s="501"/>
      <c r="D135" s="502"/>
      <c r="E135" s="502"/>
      <c r="F135" s="503"/>
      <c r="G135" s="325" t="s">
        <v>36</v>
      </c>
      <c r="H135" s="501"/>
      <c r="I135" s="502">
        <f>SUMPRODUCT(I118:I119,J118:J119)/SUM(J118:J119)</f>
        <v>1.6800000000000002</v>
      </c>
      <c r="J135" s="502">
        <f>SUM(J118:J119)</f>
        <v>104124</v>
      </c>
      <c r="K135" s="503"/>
      <c r="L135" s="325" t="s">
        <v>36</v>
      </c>
      <c r="M135" s="501"/>
      <c r="N135" s="517"/>
      <c r="O135" s="504"/>
      <c r="P135" s="503"/>
      <c r="Q135" s="325" t="s">
        <v>36</v>
      </c>
      <c r="R135" s="501"/>
      <c r="S135" s="517"/>
      <c r="T135" s="504"/>
      <c r="U135" s="503"/>
      <c r="V135" s="325" t="s">
        <v>36</v>
      </c>
      <c r="W135" s="501"/>
      <c r="X135" s="517">
        <f>SUMPRODUCT(X118:X119,Y118:Y119)/SUM(Y118:Y119)</f>
        <v>0</v>
      </c>
      <c r="Y135" s="504">
        <f>SUM(Y118:Y119)</f>
        <v>532006</v>
      </c>
      <c r="Z135" s="503"/>
      <c r="AA135" s="325" t="s">
        <v>36</v>
      </c>
      <c r="AB135" s="501"/>
      <c r="AC135" s="517">
        <f>SUMPRODUCT(AC118:AC119,AD118:AD119)/SUM(AD118:AD119)</f>
        <v>11.03</v>
      </c>
      <c r="AD135" s="504">
        <f>SUM(AD118:AD119)</f>
        <v>5615</v>
      </c>
      <c r="AF135" s="325" t="s">
        <v>36</v>
      </c>
      <c r="AG135" s="501"/>
      <c r="AH135" s="502">
        <f>SUMPRODUCT(AH118:AH119,AI118:AI119)/SUM(AI118:AI119)</f>
        <v>6.9</v>
      </c>
      <c r="AI135" s="504">
        <f>SUM(AI118:AI119)</f>
        <v>253202</v>
      </c>
      <c r="AK135" s="325" t="s">
        <v>36</v>
      </c>
      <c r="AL135" s="501"/>
      <c r="AM135" s="517">
        <f>SUMPRODUCT(AM118:AM119,AN118:AN119)/SUM(AN118:AN119)</f>
        <v>3.66</v>
      </c>
      <c r="AN135" s="504">
        <f>SUM(AN118:AN119)</f>
        <v>1533.3333333333333</v>
      </c>
      <c r="AP135" s="325" t="s">
        <v>36</v>
      </c>
      <c r="AQ135" s="501"/>
      <c r="AR135" s="517"/>
      <c r="AS135" s="504"/>
      <c r="AU135" s="325" t="s">
        <v>36</v>
      </c>
      <c r="AV135" s="501"/>
      <c r="AW135" s="517"/>
      <c r="AX135" s="504"/>
      <c r="BD135" s="503"/>
    </row>
    <row r="136" spans="1:56" s="301" customFormat="1" ht="12.75">
      <c r="A136" s="189"/>
      <c r="B136" s="369"/>
      <c r="C136" s="370"/>
      <c r="D136" s="375"/>
      <c r="E136" s="371"/>
      <c r="F136" s="106"/>
      <c r="G136" s="369"/>
      <c r="H136" s="370"/>
      <c r="I136" s="375"/>
      <c r="J136" s="371"/>
      <c r="K136" s="106"/>
      <c r="L136" s="369"/>
      <c r="M136" s="370"/>
      <c r="N136" s="375"/>
      <c r="O136" s="371"/>
      <c r="P136" s="106"/>
      <c r="Q136" s="369"/>
      <c r="R136" s="370"/>
      <c r="S136" s="375"/>
      <c r="T136" s="371"/>
      <c r="U136" s="106"/>
      <c r="V136" s="369"/>
      <c r="W136" s="370"/>
      <c r="X136" s="375"/>
      <c r="Y136" s="371"/>
      <c r="Z136" s="106"/>
      <c r="AA136" s="369"/>
      <c r="AB136" s="370"/>
      <c r="AC136" s="375"/>
      <c r="AD136" s="371"/>
      <c r="AF136" s="369"/>
      <c r="AG136" s="370"/>
      <c r="AH136" s="375"/>
      <c r="AI136" s="371"/>
      <c r="AK136" s="369"/>
      <c r="AL136" s="370"/>
      <c r="AM136" s="375"/>
      <c r="AN136" s="371"/>
      <c r="AP136" s="369"/>
      <c r="AQ136" s="370"/>
      <c r="AR136" s="375"/>
      <c r="AS136" s="371"/>
      <c r="AU136" s="369"/>
      <c r="AV136" s="370"/>
      <c r="AW136" s="375"/>
      <c r="AX136" s="371"/>
      <c r="BD136" s="106"/>
    </row>
    <row r="137" spans="1:50" s="301" customFormat="1" ht="12.75">
      <c r="A137" s="189"/>
      <c r="B137" s="402" t="s">
        <v>381</v>
      </c>
      <c r="C137" s="383"/>
      <c r="D137" s="403">
        <f>D135*E135</f>
        <v>0</v>
      </c>
      <c r="G137" s="402" t="s">
        <v>381</v>
      </c>
      <c r="H137" s="383"/>
      <c r="I137" s="403">
        <f>I135*J135</f>
        <v>174928.32</v>
      </c>
      <c r="L137" s="402" t="s">
        <v>381</v>
      </c>
      <c r="M137" s="383"/>
      <c r="N137" s="403">
        <f>N135*O135</f>
        <v>0</v>
      </c>
      <c r="Q137" s="402" t="s">
        <v>381</v>
      </c>
      <c r="R137" s="383"/>
      <c r="S137" s="403">
        <f>S135*T135</f>
        <v>0</v>
      </c>
      <c r="V137" s="402" t="s">
        <v>381</v>
      </c>
      <c r="W137" s="383"/>
      <c r="X137" s="403">
        <f>X135*Y135</f>
        <v>0</v>
      </c>
      <c r="AA137" s="402" t="s">
        <v>381</v>
      </c>
      <c r="AB137" s="383"/>
      <c r="AC137" s="403">
        <f>AC135*AD135</f>
        <v>61933.45</v>
      </c>
      <c r="AF137" s="402" t="s">
        <v>381</v>
      </c>
      <c r="AG137" s="383"/>
      <c r="AH137" s="403">
        <f>AH135*AI135</f>
        <v>1747093.8</v>
      </c>
      <c r="AK137" s="402" t="s">
        <v>381</v>
      </c>
      <c r="AL137" s="383"/>
      <c r="AM137" s="403">
        <f>AM135*AN135</f>
        <v>5612</v>
      </c>
      <c r="AN137" s="404"/>
      <c r="AP137" s="402" t="s">
        <v>381</v>
      </c>
      <c r="AQ137" s="383"/>
      <c r="AR137" s="403">
        <f>AR135*AS135</f>
        <v>0</v>
      </c>
      <c r="AS137" s="404"/>
      <c r="AU137" s="402" t="s">
        <v>381</v>
      </c>
      <c r="AV137" s="383"/>
      <c r="AW137" s="403">
        <f>AW135*AX135</f>
        <v>0</v>
      </c>
      <c r="AX137" s="404"/>
    </row>
    <row r="138" spans="1:40" s="301" customFormat="1" ht="12.75">
      <c r="A138" s="318"/>
      <c r="B138" s="498"/>
      <c r="C138" s="169"/>
      <c r="D138" s="499"/>
      <c r="G138" s="498"/>
      <c r="H138" s="169"/>
      <c r="I138" s="499"/>
      <c r="L138" s="498"/>
      <c r="M138" s="169"/>
      <c r="N138" s="499"/>
      <c r="Q138" s="498"/>
      <c r="R138" s="169"/>
      <c r="S138" s="499"/>
      <c r="V138" s="498"/>
      <c r="W138" s="169"/>
      <c r="X138" s="499"/>
      <c r="AA138" s="498"/>
      <c r="AB138" s="169"/>
      <c r="AC138" s="499"/>
      <c r="AF138" s="498"/>
      <c r="AG138" s="169"/>
      <c r="AH138" s="499"/>
      <c r="AK138" s="498"/>
      <c r="AL138" s="169"/>
      <c r="AM138" s="499"/>
      <c r="AN138" s="404"/>
    </row>
    <row r="139" spans="2:50" s="318" customFormat="1" ht="12.75">
      <c r="B139" s="193"/>
      <c r="C139" s="193"/>
      <c r="D139" s="561"/>
      <c r="E139" s="562"/>
      <c r="G139" s="193"/>
      <c r="H139" s="193"/>
      <c r="I139" s="561"/>
      <c r="J139" s="562"/>
      <c r="Q139" s="193"/>
      <c r="R139" s="193"/>
      <c r="S139" s="561"/>
      <c r="T139" s="562"/>
      <c r="V139" s="193"/>
      <c r="W139" s="193"/>
      <c r="X139" s="561"/>
      <c r="Y139" s="562"/>
      <c r="AA139" s="193"/>
      <c r="AB139" s="193"/>
      <c r="AC139" s="561"/>
      <c r="AD139" s="562"/>
      <c r="AF139" s="193"/>
      <c r="AG139" s="193"/>
      <c r="AH139" s="561"/>
      <c r="AI139" s="562"/>
      <c r="AK139" s="193"/>
      <c r="AL139" s="193"/>
      <c r="AM139" s="561"/>
      <c r="AN139" s="562"/>
      <c r="AP139" s="193"/>
      <c r="AQ139" s="193"/>
      <c r="AR139" s="561"/>
      <c r="AS139" s="562"/>
      <c r="AU139" s="193"/>
      <c r="AV139" s="193"/>
      <c r="AW139" s="561"/>
      <c r="AX139" s="562"/>
    </row>
    <row r="140" spans="1:12" s="107" customFormat="1" ht="12.75">
      <c r="A140" s="107" t="s">
        <v>477</v>
      </c>
      <c r="B140" s="78"/>
      <c r="C140" s="108"/>
      <c r="D140" s="108"/>
      <c r="E140" s="108"/>
      <c r="F140" s="108"/>
      <c r="G140" s="108"/>
      <c r="H140" s="108"/>
      <c r="I140" s="108"/>
      <c r="J140" s="108"/>
      <c r="K140" s="108"/>
      <c r="L140" s="108"/>
    </row>
    <row r="141" spans="1:45" ht="12.75">
      <c r="A141" s="109"/>
      <c r="B141" s="301"/>
      <c r="C141" s="301"/>
      <c r="D141" s="301"/>
      <c r="E141" s="301"/>
      <c r="F141" s="301"/>
      <c r="G141" s="301"/>
      <c r="H141" s="301"/>
      <c r="I141" s="301"/>
      <c r="J141" s="301"/>
      <c r="K141" s="301"/>
      <c r="AF141" s="301"/>
      <c r="AG141" s="301"/>
      <c r="AH141" s="301"/>
      <c r="AI141" s="301"/>
      <c r="AJ141" s="301"/>
      <c r="AP141" s="301"/>
      <c r="AQ141" s="301"/>
      <c r="AR141" s="301"/>
      <c r="AS141" s="301"/>
    </row>
    <row r="142" spans="1:45" ht="12.75">
      <c r="A142" s="109"/>
      <c r="B142" s="301"/>
      <c r="C142" s="301"/>
      <c r="D142" s="301"/>
      <c r="E142" s="301"/>
      <c r="F142" s="301"/>
      <c r="G142" s="301"/>
      <c r="H142" s="301"/>
      <c r="I142" s="301"/>
      <c r="J142" s="301"/>
      <c r="K142" s="301"/>
      <c r="AF142" s="301"/>
      <c r="AG142" s="301"/>
      <c r="AH142" s="301"/>
      <c r="AI142" s="301"/>
      <c r="AJ142" s="301"/>
      <c r="AP142" s="301"/>
      <c r="AQ142" s="301"/>
      <c r="AR142" s="301"/>
      <c r="AS142" s="301"/>
    </row>
    <row r="143" spans="2:47" s="301" customFormat="1" ht="12.75">
      <c r="B143" s="319" t="s">
        <v>139</v>
      </c>
      <c r="G143" s="319" t="s">
        <v>58</v>
      </c>
      <c r="L143" s="319" t="s">
        <v>141</v>
      </c>
      <c r="Q143" s="319" t="s">
        <v>388</v>
      </c>
      <c r="V143" s="319" t="s">
        <v>142</v>
      </c>
      <c r="AA143" s="319" t="s">
        <v>143</v>
      </c>
      <c r="AF143" s="319" t="s">
        <v>140</v>
      </c>
      <c r="AK143" s="103" t="s">
        <v>59</v>
      </c>
      <c r="AP143" s="319" t="s">
        <v>256</v>
      </c>
      <c r="AU143" s="319" t="s">
        <v>177</v>
      </c>
    </row>
    <row r="144" spans="2:50" s="301" customFormat="1" ht="12.75">
      <c r="B144" s="320" t="s">
        <v>227</v>
      </c>
      <c r="C144" s="321"/>
      <c r="D144" s="320" t="s">
        <v>346</v>
      </c>
      <c r="E144" s="500" t="s">
        <v>347</v>
      </c>
      <c r="G144" s="320" t="s">
        <v>227</v>
      </c>
      <c r="H144" s="321"/>
      <c r="I144" s="104" t="s">
        <v>346</v>
      </c>
      <c r="J144" s="105" t="s">
        <v>347</v>
      </c>
      <c r="L144" s="320" t="s">
        <v>227</v>
      </c>
      <c r="M144" s="321"/>
      <c r="N144" s="104" t="s">
        <v>346</v>
      </c>
      <c r="O144" s="105" t="s">
        <v>347</v>
      </c>
      <c r="Q144" s="323" t="s">
        <v>227</v>
      </c>
      <c r="R144" s="324"/>
      <c r="S144" s="104" t="s">
        <v>346</v>
      </c>
      <c r="T144" s="105" t="s">
        <v>347</v>
      </c>
      <c r="V144" s="320" t="s">
        <v>227</v>
      </c>
      <c r="W144" s="321"/>
      <c r="X144" s="104" t="s">
        <v>346</v>
      </c>
      <c r="Y144" s="105" t="s">
        <v>347</v>
      </c>
      <c r="AA144" s="320" t="s">
        <v>227</v>
      </c>
      <c r="AB144" s="321"/>
      <c r="AC144" s="104" t="s">
        <v>346</v>
      </c>
      <c r="AD144" s="105" t="s">
        <v>347</v>
      </c>
      <c r="AF144" s="323" t="s">
        <v>227</v>
      </c>
      <c r="AG144" s="324"/>
      <c r="AH144" s="104" t="s">
        <v>346</v>
      </c>
      <c r="AI144" s="105" t="s">
        <v>347</v>
      </c>
      <c r="AK144" s="320" t="s">
        <v>227</v>
      </c>
      <c r="AL144" s="321"/>
      <c r="AM144" s="104" t="s">
        <v>346</v>
      </c>
      <c r="AN144" s="105" t="s">
        <v>347</v>
      </c>
      <c r="AP144" s="320"/>
      <c r="AQ144" s="321"/>
      <c r="AR144" s="104" t="s">
        <v>346</v>
      </c>
      <c r="AS144" s="105" t="s">
        <v>347</v>
      </c>
      <c r="AU144" s="320"/>
      <c r="AV144" s="321"/>
      <c r="AW144" s="104" t="s">
        <v>346</v>
      </c>
      <c r="AX144" s="105" t="s">
        <v>347</v>
      </c>
    </row>
    <row r="145" spans="2:50" s="301" customFormat="1" ht="12.75">
      <c r="B145" s="348"/>
      <c r="C145" s="331"/>
      <c r="D145" s="454"/>
      <c r="E145" s="453"/>
      <c r="G145" s="235" t="s">
        <v>360</v>
      </c>
      <c r="H145" s="331"/>
      <c r="I145" s="526"/>
      <c r="J145" s="523"/>
      <c r="L145" s="597" t="s">
        <v>198</v>
      </c>
      <c r="M145" s="326"/>
      <c r="N145" s="452"/>
      <c r="O145" s="453"/>
      <c r="Q145" s="563" t="s">
        <v>257</v>
      </c>
      <c r="R145" s="331"/>
      <c r="S145" s="454"/>
      <c r="T145" s="453"/>
      <c r="V145" s="336" t="s">
        <v>260</v>
      </c>
      <c r="W145" s="326"/>
      <c r="X145" s="458">
        <v>16.289424657534248</v>
      </c>
      <c r="Y145" s="566">
        <v>2646051.5</v>
      </c>
      <c r="AA145" s="348" t="s">
        <v>277</v>
      </c>
      <c r="AB145" s="344"/>
      <c r="AC145" s="419">
        <v>1334.42</v>
      </c>
      <c r="AD145" s="524">
        <v>1</v>
      </c>
      <c r="AF145" s="563" t="s">
        <v>258</v>
      </c>
      <c r="AG145" s="331"/>
      <c r="AH145" s="564">
        <v>7.727205275273999</v>
      </c>
      <c r="AI145" s="565">
        <v>640309.9159061172</v>
      </c>
      <c r="AK145" s="348" t="s">
        <v>261</v>
      </c>
      <c r="AL145" s="331"/>
      <c r="AM145" s="526">
        <v>4960.083333333333</v>
      </c>
      <c r="AN145" s="523">
        <v>17.442821855633813</v>
      </c>
      <c r="AP145" s="330" t="s">
        <v>208</v>
      </c>
      <c r="AQ145" s="525"/>
      <c r="AR145" s="526">
        <v>1977</v>
      </c>
      <c r="AS145" s="523">
        <v>23.26757713707638</v>
      </c>
      <c r="AU145" s="519" t="s">
        <v>206</v>
      </c>
      <c r="AV145" s="331"/>
      <c r="AW145" s="567">
        <v>1827</v>
      </c>
      <c r="AX145" s="531">
        <v>1</v>
      </c>
    </row>
    <row r="146" spans="2:50" s="301" customFormat="1" ht="12.75">
      <c r="B146" s="348"/>
      <c r="C146" s="344"/>
      <c r="D146" s="465"/>
      <c r="E146" s="464"/>
      <c r="G146" s="235" t="s">
        <v>361</v>
      </c>
      <c r="H146" s="344"/>
      <c r="I146" s="472"/>
      <c r="J146" s="529"/>
      <c r="L146" s="598" t="s">
        <v>204</v>
      </c>
      <c r="M146" s="338"/>
      <c r="N146" s="463"/>
      <c r="O146" s="464"/>
      <c r="Q146" s="405" t="s">
        <v>206</v>
      </c>
      <c r="R146" s="344"/>
      <c r="S146" s="472">
        <v>0</v>
      </c>
      <c r="T146" s="529"/>
      <c r="V146" s="348" t="s">
        <v>264</v>
      </c>
      <c r="W146" s="338"/>
      <c r="X146" s="467">
        <v>25.159232876712323</v>
      </c>
      <c r="Y146" s="485">
        <v>77105</v>
      </c>
      <c r="AA146" s="348" t="s">
        <v>285</v>
      </c>
      <c r="AB146" s="344"/>
      <c r="AC146" s="419">
        <v>450.4</v>
      </c>
      <c r="AD146" s="524">
        <v>19</v>
      </c>
      <c r="AF146" s="405" t="s">
        <v>371</v>
      </c>
      <c r="AG146" s="344"/>
      <c r="AH146" s="430">
        <v>19.98837929711354</v>
      </c>
      <c r="AI146" s="490">
        <v>1842085.481403543</v>
      </c>
      <c r="AK146" s="348" t="s">
        <v>265</v>
      </c>
      <c r="AL146" s="344"/>
      <c r="AM146" s="419">
        <v>1629.7375000000002</v>
      </c>
      <c r="AN146" s="524">
        <v>109.05401697046125</v>
      </c>
      <c r="AP146" s="330" t="s">
        <v>212</v>
      </c>
      <c r="AQ146" s="363"/>
      <c r="AR146" s="419">
        <v>629</v>
      </c>
      <c r="AS146" s="524">
        <v>58</v>
      </c>
      <c r="AU146" s="530" t="s">
        <v>208</v>
      </c>
      <c r="AV146" s="344"/>
      <c r="AW146" s="567">
        <v>2752.25</v>
      </c>
      <c r="AX146" s="531">
        <v>1.1666666666666667</v>
      </c>
    </row>
    <row r="147" spans="2:50" s="301" customFormat="1" ht="12.75">
      <c r="B147" s="348"/>
      <c r="C147" s="344"/>
      <c r="D147" s="465"/>
      <c r="E147" s="464"/>
      <c r="G147" s="235" t="s">
        <v>362</v>
      </c>
      <c r="H147" s="344"/>
      <c r="I147" s="470">
        <v>6973.68</v>
      </c>
      <c r="J147" s="529">
        <v>10</v>
      </c>
      <c r="L147" s="598" t="s">
        <v>206</v>
      </c>
      <c r="M147" s="338"/>
      <c r="N147" s="463"/>
      <c r="O147" s="464"/>
      <c r="Q147" s="405" t="s">
        <v>266</v>
      </c>
      <c r="R147" s="344"/>
      <c r="S147" s="472">
        <v>5423.960833319999</v>
      </c>
      <c r="T147" s="529">
        <v>0.6816381001935198</v>
      </c>
      <c r="V147" s="348" t="s">
        <v>270</v>
      </c>
      <c r="W147" s="338"/>
      <c r="X147" s="467">
        <v>30.549041095890423</v>
      </c>
      <c r="Y147" s="485">
        <v>36727</v>
      </c>
      <c r="AA147" s="348" t="s">
        <v>293</v>
      </c>
      <c r="AB147" s="344"/>
      <c r="AC147" s="422">
        <v>153.3</v>
      </c>
      <c r="AD147" s="480">
        <v>122.14722222222221</v>
      </c>
      <c r="AF147" s="405" t="s">
        <v>372</v>
      </c>
      <c r="AG147" s="344"/>
      <c r="AH147" s="428">
        <v>40.652053102697984</v>
      </c>
      <c r="AI147" s="485">
        <v>72828.10544699183</v>
      </c>
      <c r="AK147" s="348" t="s">
        <v>271</v>
      </c>
      <c r="AL147" s="344"/>
      <c r="AM147" s="419">
        <v>630.6266666666667</v>
      </c>
      <c r="AN147" s="524">
        <v>5.179799740752156</v>
      </c>
      <c r="AP147" s="330" t="s">
        <v>213</v>
      </c>
      <c r="AQ147" s="363"/>
      <c r="AR147" s="422">
        <v>158</v>
      </c>
      <c r="AS147" s="480">
        <v>302</v>
      </c>
      <c r="AU147" s="530" t="s">
        <v>212</v>
      </c>
      <c r="AV147" s="344"/>
      <c r="AW147" s="568">
        <v>997.25</v>
      </c>
      <c r="AX147" s="534">
        <v>26.24597643519679</v>
      </c>
    </row>
    <row r="148" spans="2:50" s="301" customFormat="1" ht="12.75">
      <c r="B148" s="348"/>
      <c r="C148" s="344"/>
      <c r="D148" s="465"/>
      <c r="E148" s="464"/>
      <c r="G148" s="235" t="s">
        <v>363</v>
      </c>
      <c r="H148" s="344"/>
      <c r="I148" s="470"/>
      <c r="J148" s="529"/>
      <c r="L148" s="598" t="s">
        <v>207</v>
      </c>
      <c r="M148" s="338"/>
      <c r="N148" s="463"/>
      <c r="O148" s="464"/>
      <c r="Q148" s="405" t="s">
        <v>275</v>
      </c>
      <c r="R148" s="344"/>
      <c r="S148" s="472">
        <v>1908.42</v>
      </c>
      <c r="T148" s="529">
        <v>4.004720824209326</v>
      </c>
      <c r="V148" s="348" t="s">
        <v>374</v>
      </c>
      <c r="W148" s="338"/>
      <c r="X148" s="475">
        <v>30.54904109589042</v>
      </c>
      <c r="Y148" s="480">
        <v>1870</v>
      </c>
      <c r="AA148" s="348" t="s">
        <v>301</v>
      </c>
      <c r="AB148" s="344"/>
      <c r="AC148" s="422">
        <v>34.78</v>
      </c>
      <c r="AD148" s="480">
        <v>105.31944444444444</v>
      </c>
      <c r="AF148" s="405" t="s">
        <v>373</v>
      </c>
      <c r="AG148" s="344"/>
      <c r="AH148" s="428">
        <v>40.82</v>
      </c>
      <c r="AI148" s="485">
        <v>7640.619059284664</v>
      </c>
      <c r="AK148" s="348" t="s">
        <v>278</v>
      </c>
      <c r="AL148" s="344"/>
      <c r="AM148" s="419">
        <v>541.3558333333333</v>
      </c>
      <c r="AN148" s="524">
        <v>100.18328953244674</v>
      </c>
      <c r="AP148" s="330" t="s">
        <v>222</v>
      </c>
      <c r="AQ148" s="363"/>
      <c r="AR148" s="428">
        <v>33.3</v>
      </c>
      <c r="AS148" s="485">
        <v>1690</v>
      </c>
      <c r="AU148" s="530" t="s">
        <v>213</v>
      </c>
      <c r="AV148" s="344"/>
      <c r="AW148" s="569">
        <v>57.5</v>
      </c>
      <c r="AX148" s="537">
        <v>150.88034782608693</v>
      </c>
    </row>
    <row r="149" spans="2:50" s="301" customFormat="1" ht="12.75">
      <c r="B149" s="348" t="s">
        <v>279</v>
      </c>
      <c r="C149" s="344"/>
      <c r="D149" s="419">
        <v>365.64</v>
      </c>
      <c r="E149" s="524">
        <v>31</v>
      </c>
      <c r="G149" s="235" t="s">
        <v>343</v>
      </c>
      <c r="H149" s="344"/>
      <c r="I149" s="478">
        <v>1046.4306555671174</v>
      </c>
      <c r="J149" s="524">
        <v>320.3333333333333</v>
      </c>
      <c r="L149" s="598" t="s">
        <v>208</v>
      </c>
      <c r="M149" s="338"/>
      <c r="N149" s="473">
        <v>1977</v>
      </c>
      <c r="O149" s="529">
        <v>141.92912263760496</v>
      </c>
      <c r="Q149" s="405" t="s">
        <v>283</v>
      </c>
      <c r="R149" s="344"/>
      <c r="S149" s="419">
        <v>628.7066301369863</v>
      </c>
      <c r="T149" s="524">
        <v>586.4032998067258</v>
      </c>
      <c r="V149" s="348" t="s">
        <v>276</v>
      </c>
      <c r="W149" s="338"/>
      <c r="X149" s="475">
        <v>109.86673972602743</v>
      </c>
      <c r="Y149" s="480">
        <v>8109</v>
      </c>
      <c r="AA149" s="348" t="s">
        <v>308</v>
      </c>
      <c r="AB149" s="344"/>
      <c r="AC149" s="428">
        <v>34.78</v>
      </c>
      <c r="AD149" s="485">
        <v>1117</v>
      </c>
      <c r="AF149" s="405" t="s">
        <v>273</v>
      </c>
      <c r="AG149" s="344"/>
      <c r="AH149" s="422">
        <v>69.78134625774697</v>
      </c>
      <c r="AI149" s="480">
        <v>10253.915385310629</v>
      </c>
      <c r="AK149" s="348" t="s">
        <v>286</v>
      </c>
      <c r="AL149" s="344"/>
      <c r="AM149" s="422">
        <v>361.37666666666667</v>
      </c>
      <c r="AN149" s="480">
        <v>159.32432419820827</v>
      </c>
      <c r="AP149" s="330" t="s">
        <v>225</v>
      </c>
      <c r="AQ149" s="363"/>
      <c r="AR149" s="430">
        <v>29.2</v>
      </c>
      <c r="AS149" s="490">
        <v>19953</v>
      </c>
      <c r="AU149" s="530" t="s">
        <v>214</v>
      </c>
      <c r="AV149" s="344"/>
      <c r="AW149" s="569">
        <v>7.67</v>
      </c>
      <c r="AX149" s="537">
        <v>681.251629726206</v>
      </c>
    </row>
    <row r="150" spans="2:50" s="301" customFormat="1" ht="12.75">
      <c r="B150" s="348" t="s">
        <v>287</v>
      </c>
      <c r="C150" s="344"/>
      <c r="D150" s="422">
        <v>320.77</v>
      </c>
      <c r="E150" s="480">
        <v>193</v>
      </c>
      <c r="G150" s="235" t="s">
        <v>364</v>
      </c>
      <c r="H150" s="344"/>
      <c r="I150" s="422">
        <v>151.4301981522778</v>
      </c>
      <c r="J150" s="480">
        <v>1307.9166666666665</v>
      </c>
      <c r="L150" s="598" t="s">
        <v>209</v>
      </c>
      <c r="M150" s="338"/>
      <c r="N150" s="473">
        <v>1977</v>
      </c>
      <c r="O150" s="529">
        <v>12.863324596496064</v>
      </c>
      <c r="Q150" s="405" t="s">
        <v>291</v>
      </c>
      <c r="R150" s="344"/>
      <c r="S150" s="422">
        <v>218.74301369863014</v>
      </c>
      <c r="T150" s="480">
        <v>748.458629044287</v>
      </c>
      <c r="V150" s="348" t="s">
        <v>284</v>
      </c>
      <c r="W150" s="338"/>
      <c r="X150" s="475">
        <v>122.74520547945203</v>
      </c>
      <c r="Y150" s="480">
        <v>4183</v>
      </c>
      <c r="AA150" s="348" t="s">
        <v>315</v>
      </c>
      <c r="AB150" s="344"/>
      <c r="AC150" s="428">
        <v>0</v>
      </c>
      <c r="AD150" s="485">
        <v>0</v>
      </c>
      <c r="AF150" s="405" t="s">
        <v>281</v>
      </c>
      <c r="AG150" s="344"/>
      <c r="AH150" s="419">
        <v>546.4992439255195</v>
      </c>
      <c r="AI150" s="524">
        <v>3591.0087192498663</v>
      </c>
      <c r="AK150" s="348" t="s">
        <v>294</v>
      </c>
      <c r="AL150" s="344"/>
      <c r="AM150" s="422">
        <v>178.56166666666667</v>
      </c>
      <c r="AN150" s="480">
        <v>108.95709224752231</v>
      </c>
      <c r="AP150" s="330" t="s">
        <v>226</v>
      </c>
      <c r="AQ150" s="363"/>
      <c r="AR150" s="430">
        <v>29.2</v>
      </c>
      <c r="AS150" s="490">
        <v>25147</v>
      </c>
      <c r="AU150" s="530" t="s">
        <v>222</v>
      </c>
      <c r="AV150" s="344"/>
      <c r="AW150" s="570">
        <v>7.67</v>
      </c>
      <c r="AX150" s="539">
        <v>1664.1668839634947</v>
      </c>
    </row>
    <row r="151" spans="2:50" s="301" customFormat="1" ht="12.75">
      <c r="B151" s="348" t="s">
        <v>295</v>
      </c>
      <c r="C151" s="344"/>
      <c r="D151" s="422">
        <v>16</v>
      </c>
      <c r="E151" s="480">
        <v>302</v>
      </c>
      <c r="G151" s="235" t="s">
        <v>365</v>
      </c>
      <c r="H151" s="344"/>
      <c r="I151" s="422">
        <v>36.24</v>
      </c>
      <c r="J151" s="480">
        <v>429.25</v>
      </c>
      <c r="L151" s="598" t="s">
        <v>210</v>
      </c>
      <c r="M151" s="338"/>
      <c r="N151" s="350">
        <v>1703</v>
      </c>
      <c r="O151" s="524">
        <v>345</v>
      </c>
      <c r="Q151" s="405" t="s">
        <v>298</v>
      </c>
      <c r="R151" s="344"/>
      <c r="S151" s="422">
        <v>0</v>
      </c>
      <c r="T151" s="480"/>
      <c r="V151" s="348" t="s">
        <v>292</v>
      </c>
      <c r="W151" s="329"/>
      <c r="X151" s="475">
        <v>506.2356164383561</v>
      </c>
      <c r="Y151" s="480">
        <v>10050.5</v>
      </c>
      <c r="AA151" s="348" t="s">
        <v>323</v>
      </c>
      <c r="AB151" s="344"/>
      <c r="AC151" s="430">
        <v>21.45</v>
      </c>
      <c r="AD151" s="490">
        <v>17138.212850910535</v>
      </c>
      <c r="AF151" s="405" t="s">
        <v>289</v>
      </c>
      <c r="AG151" s="344"/>
      <c r="AH151" s="419">
        <v>1213.565</v>
      </c>
      <c r="AI151" s="524">
        <v>30.890288655360695</v>
      </c>
      <c r="AK151" s="348" t="s">
        <v>302</v>
      </c>
      <c r="AL151" s="344"/>
      <c r="AM151" s="422">
        <v>178.56166666666667</v>
      </c>
      <c r="AN151" s="480">
        <v>5.526719621808289</v>
      </c>
      <c r="AP151" s="330" t="s">
        <v>228</v>
      </c>
      <c r="AQ151" s="363"/>
      <c r="AR151" s="436"/>
      <c r="AS151" s="494"/>
      <c r="AU151" s="530" t="s">
        <v>223</v>
      </c>
      <c r="AV151" s="344"/>
      <c r="AW151" s="570">
        <v>7.67</v>
      </c>
      <c r="AX151" s="539">
        <v>210.27379400260762</v>
      </c>
    </row>
    <row r="152" spans="2:50" s="301" customFormat="1" ht="12.75">
      <c r="B152" s="348" t="s">
        <v>303</v>
      </c>
      <c r="C152" s="344"/>
      <c r="D152" s="428">
        <v>13.43</v>
      </c>
      <c r="E152" s="485">
        <v>1087</v>
      </c>
      <c r="G152" s="235" t="s">
        <v>366</v>
      </c>
      <c r="H152" s="344"/>
      <c r="I152" s="428">
        <v>36.24</v>
      </c>
      <c r="J152" s="485">
        <v>5818.1525</v>
      </c>
      <c r="L152" s="530" t="s">
        <v>212</v>
      </c>
      <c r="M152" s="338"/>
      <c r="N152" s="350">
        <v>629</v>
      </c>
      <c r="O152" s="524">
        <v>8701</v>
      </c>
      <c r="Q152" s="405" t="s">
        <v>306</v>
      </c>
      <c r="R152" s="344"/>
      <c r="S152" s="428">
        <v>14.257534246575343</v>
      </c>
      <c r="T152" s="485">
        <v>733.0239056037788</v>
      </c>
      <c r="V152" s="348" t="s">
        <v>300</v>
      </c>
      <c r="W152" s="338"/>
      <c r="X152" s="482">
        <v>936</v>
      </c>
      <c r="Y152" s="524">
        <v>58</v>
      </c>
      <c r="AA152" s="348" t="s">
        <v>330</v>
      </c>
      <c r="AB152" s="344"/>
      <c r="AC152" s="430">
        <v>21.45</v>
      </c>
      <c r="AD152" s="490">
        <v>12240.287149089465</v>
      </c>
      <c r="AF152" s="571" t="s">
        <v>297</v>
      </c>
      <c r="AG152" s="572"/>
      <c r="AH152" s="573">
        <v>6953.38</v>
      </c>
      <c r="AI152" s="574">
        <v>133.86693907825543</v>
      </c>
      <c r="AK152" s="348" t="s">
        <v>309</v>
      </c>
      <c r="AL152" s="344"/>
      <c r="AM152" s="422">
        <v>136.0525</v>
      </c>
      <c r="AN152" s="480">
        <v>24.030142192732022</v>
      </c>
      <c r="AP152" s="369"/>
      <c r="AQ152" s="370"/>
      <c r="AR152" s="371"/>
      <c r="AS152" s="497"/>
      <c r="AU152" s="530" t="s">
        <v>225</v>
      </c>
      <c r="AV152" s="344"/>
      <c r="AW152" s="575">
        <v>7.67</v>
      </c>
      <c r="AX152" s="543">
        <v>25382.04954367666</v>
      </c>
    </row>
    <row r="153" spans="2:50" s="301" customFormat="1" ht="12.75">
      <c r="B153" s="348" t="s">
        <v>310</v>
      </c>
      <c r="C153" s="344"/>
      <c r="D153" s="428">
        <v>13.43</v>
      </c>
      <c r="E153" s="485">
        <v>484</v>
      </c>
      <c r="G153" s="235" t="s">
        <v>367</v>
      </c>
      <c r="H153" s="344"/>
      <c r="I153" s="428">
        <v>36.24</v>
      </c>
      <c r="J153" s="485">
        <v>2188.6475</v>
      </c>
      <c r="L153" s="530" t="s">
        <v>213</v>
      </c>
      <c r="M153" s="338"/>
      <c r="N153" s="358">
        <v>158</v>
      </c>
      <c r="O153" s="480">
        <v>27697</v>
      </c>
      <c r="Q153" s="405" t="s">
        <v>313</v>
      </c>
      <c r="R153" s="344"/>
      <c r="S153" s="428">
        <v>14.257534246575343</v>
      </c>
      <c r="T153" s="485">
        <v>2387.0521420190453</v>
      </c>
      <c r="V153" s="348" t="s">
        <v>307</v>
      </c>
      <c r="W153" s="338"/>
      <c r="X153" s="482">
        <v>1491.452054794521</v>
      </c>
      <c r="Y153" s="524">
        <v>1776</v>
      </c>
      <c r="AA153" s="348" t="s">
        <v>336</v>
      </c>
      <c r="AB153" s="344"/>
      <c r="AC153" s="436">
        <v>10.61</v>
      </c>
      <c r="AD153" s="494">
        <v>17491</v>
      </c>
      <c r="AF153" s="576"/>
      <c r="AG153" s="577"/>
      <c r="AH153" s="384"/>
      <c r="AI153" s="578"/>
      <c r="AK153" s="348" t="s">
        <v>317</v>
      </c>
      <c r="AL153" s="344"/>
      <c r="AM153" s="422">
        <v>136.0525</v>
      </c>
      <c r="AN153" s="480">
        <v>156.89437904934255</v>
      </c>
      <c r="AP153" s="106"/>
      <c r="AQ153" s="106"/>
      <c r="AR153" s="106"/>
      <c r="AS153" s="106"/>
      <c r="AU153" s="530" t="s">
        <v>226</v>
      </c>
      <c r="AV153" s="344"/>
      <c r="AW153" s="575">
        <v>7.67</v>
      </c>
      <c r="AX153" s="543">
        <v>9965.475880052154</v>
      </c>
    </row>
    <row r="154" spans="2:50" s="301" customFormat="1" ht="12.75">
      <c r="B154" s="348" t="s">
        <v>318</v>
      </c>
      <c r="C154" s="344"/>
      <c r="D154" s="430">
        <v>13.43</v>
      </c>
      <c r="E154" s="490">
        <v>31256</v>
      </c>
      <c r="G154" s="235" t="s">
        <v>368</v>
      </c>
      <c r="H154" s="344"/>
      <c r="I154" s="430">
        <v>21.96</v>
      </c>
      <c r="J154" s="490">
        <v>72700.28166666665</v>
      </c>
      <c r="L154" s="530" t="s">
        <v>214</v>
      </c>
      <c r="M154" s="338"/>
      <c r="N154" s="358">
        <v>158</v>
      </c>
      <c r="O154" s="480">
        <v>5023</v>
      </c>
      <c r="Q154" s="405" t="s">
        <v>321</v>
      </c>
      <c r="R154" s="344"/>
      <c r="S154" s="430">
        <v>14.257534246575343</v>
      </c>
      <c r="T154" s="490">
        <v>7389.2050249412805</v>
      </c>
      <c r="V154" s="348" t="s">
        <v>375</v>
      </c>
      <c r="W154" s="338"/>
      <c r="X154" s="487">
        <v>6590.317808219178</v>
      </c>
      <c r="Y154" s="529">
        <v>121.5</v>
      </c>
      <c r="AA154" s="369"/>
      <c r="AB154" s="370"/>
      <c r="AC154" s="371"/>
      <c r="AD154" s="497"/>
      <c r="AF154" s="329"/>
      <c r="AG154" s="329"/>
      <c r="AH154" s="544"/>
      <c r="AI154" s="404"/>
      <c r="AK154" s="348" t="s">
        <v>324</v>
      </c>
      <c r="AL154" s="344"/>
      <c r="AM154" s="422">
        <v>131.36083333333335</v>
      </c>
      <c r="AN154" s="480">
        <v>91.79748323068169</v>
      </c>
      <c r="AP154" s="106"/>
      <c r="AQ154" s="106"/>
      <c r="AR154" s="106"/>
      <c r="AS154" s="106"/>
      <c r="AU154" s="546" t="s">
        <v>228</v>
      </c>
      <c r="AV154" s="344"/>
      <c r="AW154" s="579">
        <v>2.335</v>
      </c>
      <c r="AX154" s="554">
        <v>8364.873661670234</v>
      </c>
    </row>
    <row r="155" spans="2:50" s="301" customFormat="1" ht="12.75">
      <c r="B155" s="348" t="s">
        <v>325</v>
      </c>
      <c r="C155" s="344"/>
      <c r="D155" s="430">
        <v>13.43</v>
      </c>
      <c r="E155" s="490">
        <v>18242</v>
      </c>
      <c r="G155" s="235" t="s">
        <v>369</v>
      </c>
      <c r="H155" s="344"/>
      <c r="I155" s="430">
        <v>21.96</v>
      </c>
      <c r="J155" s="490">
        <v>115707.32416666669</v>
      </c>
      <c r="L155" s="530" t="s">
        <v>222</v>
      </c>
      <c r="M155" s="338"/>
      <c r="N155" s="378">
        <v>33.3</v>
      </c>
      <c r="O155" s="485">
        <v>65356</v>
      </c>
      <c r="Q155" s="405" t="s">
        <v>328</v>
      </c>
      <c r="R155" s="344"/>
      <c r="S155" s="430">
        <v>14.257534246575343</v>
      </c>
      <c r="T155" s="490">
        <v>89338.52016528836</v>
      </c>
      <c r="V155" s="348" t="s">
        <v>376</v>
      </c>
      <c r="W155" s="338"/>
      <c r="X155" s="487">
        <v>9598.241095890411</v>
      </c>
      <c r="Y155" s="529">
        <v>57</v>
      </c>
      <c r="AF155" s="329"/>
      <c r="AG155" s="329"/>
      <c r="AH155" s="544"/>
      <c r="AI155" s="404"/>
      <c r="AK155" s="348" t="s">
        <v>331</v>
      </c>
      <c r="AL155" s="344"/>
      <c r="AM155" s="422">
        <v>123.57333333333332</v>
      </c>
      <c r="AN155" s="480">
        <v>612.7372095419842</v>
      </c>
      <c r="AP155" s="106"/>
      <c r="AQ155" s="106"/>
      <c r="AR155" s="106"/>
      <c r="AS155" s="106"/>
      <c r="AU155" s="369"/>
      <c r="AV155" s="580"/>
      <c r="AW155" s="556"/>
      <c r="AX155" s="497"/>
    </row>
    <row r="156" spans="2:50" s="301" customFormat="1" ht="12.75">
      <c r="B156" s="348" t="s">
        <v>332</v>
      </c>
      <c r="C156" s="344"/>
      <c r="D156" s="581">
        <v>4.69</v>
      </c>
      <c r="E156" s="558">
        <v>21663</v>
      </c>
      <c r="G156" s="235" t="s">
        <v>370</v>
      </c>
      <c r="H156" s="344"/>
      <c r="I156" s="436">
        <v>2.28</v>
      </c>
      <c r="J156" s="494">
        <v>82800</v>
      </c>
      <c r="L156" s="519" t="s">
        <v>223</v>
      </c>
      <c r="M156" s="338"/>
      <c r="N156" s="378">
        <v>33.3</v>
      </c>
      <c r="O156" s="485">
        <v>0</v>
      </c>
      <c r="Q156" s="571" t="s">
        <v>335</v>
      </c>
      <c r="R156" s="553"/>
      <c r="S156" s="436">
        <v>6.737260273972603</v>
      </c>
      <c r="T156" s="494">
        <v>41640.5</v>
      </c>
      <c r="V156" s="348" t="s">
        <v>329</v>
      </c>
      <c r="W156" s="373"/>
      <c r="X156" s="491">
        <v>8.4</v>
      </c>
      <c r="Y156" s="494">
        <v>716357.5</v>
      </c>
      <c r="AF156" s="329"/>
      <c r="AG156" s="329"/>
      <c r="AH156" s="544"/>
      <c r="AI156" s="404"/>
      <c r="AK156" s="348" t="s">
        <v>337</v>
      </c>
      <c r="AL156" s="344"/>
      <c r="AM156" s="428">
        <v>49.1875</v>
      </c>
      <c r="AN156" s="485">
        <v>350.35049354022806</v>
      </c>
      <c r="AP156" s="106"/>
      <c r="AQ156" s="106"/>
      <c r="AR156" s="106"/>
      <c r="AS156" s="106"/>
      <c r="AU156" s="329"/>
      <c r="AV156" s="329"/>
      <c r="AW156" s="544"/>
      <c r="AX156" s="404"/>
    </row>
    <row r="157" spans="2:50" s="301" customFormat="1" ht="12.75">
      <c r="B157" s="369"/>
      <c r="C157" s="370"/>
      <c r="D157" s="371"/>
      <c r="E157" s="497"/>
      <c r="G157" s="369"/>
      <c r="H157" s="370"/>
      <c r="I157" s="371"/>
      <c r="J157" s="497"/>
      <c r="L157" s="519" t="s">
        <v>225</v>
      </c>
      <c r="M157" s="329"/>
      <c r="N157" s="582">
        <v>29.2</v>
      </c>
      <c r="O157" s="490">
        <v>1075758</v>
      </c>
      <c r="Q157" s="372"/>
      <c r="R157" s="572"/>
      <c r="S157" s="371"/>
      <c r="T157" s="542"/>
      <c r="V157" s="395"/>
      <c r="W157" s="383"/>
      <c r="X157" s="549"/>
      <c r="Y157" s="550"/>
      <c r="AF157" s="329"/>
      <c r="AG157" s="329"/>
      <c r="AH157" s="544"/>
      <c r="AI157" s="404"/>
      <c r="AK157" s="330" t="s">
        <v>338</v>
      </c>
      <c r="AL157" s="363"/>
      <c r="AM157" s="428">
        <v>49.1875</v>
      </c>
      <c r="AN157" s="485">
        <v>456.3577752962726</v>
      </c>
      <c r="AP157" s="106"/>
      <c r="AQ157" s="106"/>
      <c r="AR157" s="106"/>
      <c r="AS157" s="106"/>
      <c r="AU157" s="329"/>
      <c r="AV157" s="329"/>
      <c r="AW157" s="560"/>
      <c r="AX157" s="404"/>
    </row>
    <row r="158" spans="7:40" ht="12.75">
      <c r="G158" s="341"/>
      <c r="L158" s="519" t="s">
        <v>226</v>
      </c>
      <c r="M158" s="386"/>
      <c r="N158" s="393">
        <v>29.2</v>
      </c>
      <c r="O158" s="490">
        <v>1326584</v>
      </c>
      <c r="AF158" s="329"/>
      <c r="AG158" s="329"/>
      <c r="AH158" s="544"/>
      <c r="AI158" s="404"/>
      <c r="AK158" s="330" t="s">
        <v>339</v>
      </c>
      <c r="AL158" s="363"/>
      <c r="AM158" s="428">
        <v>49.1875</v>
      </c>
      <c r="AN158" s="485">
        <v>1505.7494643715818</v>
      </c>
    </row>
    <row r="159" spans="7:40" ht="12.75">
      <c r="G159" s="392"/>
      <c r="L159" s="583" t="s">
        <v>228</v>
      </c>
      <c r="M159" s="390"/>
      <c r="N159" s="435">
        <v>3.53</v>
      </c>
      <c r="O159" s="548">
        <v>912136</v>
      </c>
      <c r="Q159" s="392"/>
      <c r="AF159" s="329"/>
      <c r="AG159" s="329"/>
      <c r="AH159" s="544"/>
      <c r="AI159" s="404"/>
      <c r="AK159" s="330" t="s">
        <v>340</v>
      </c>
      <c r="AL159" s="363"/>
      <c r="AM159" s="428">
        <v>14.585833333333332</v>
      </c>
      <c r="AN159" s="485">
        <v>2074.424455989885</v>
      </c>
    </row>
    <row r="160" spans="12:40" ht="12.75">
      <c r="L160" s="395"/>
      <c r="M160" s="396"/>
      <c r="N160" s="391"/>
      <c r="O160" s="397"/>
      <c r="AF160" s="329"/>
      <c r="AG160" s="329"/>
      <c r="AH160" s="544"/>
      <c r="AI160" s="404"/>
      <c r="AK160" s="330" t="s">
        <v>342</v>
      </c>
      <c r="AL160" s="363"/>
      <c r="AM160" s="430">
        <v>13.0575</v>
      </c>
      <c r="AN160" s="490">
        <v>44278.04403599463</v>
      </c>
    </row>
    <row r="161" spans="12:40" ht="12.75">
      <c r="L161" s="341"/>
      <c r="AF161" s="33"/>
      <c r="AG161" s="33"/>
      <c r="AH161" s="33"/>
      <c r="AI161" s="33"/>
      <c r="AK161" s="330" t="s">
        <v>344</v>
      </c>
      <c r="AL161" s="363"/>
      <c r="AM161" s="436">
        <v>2.4758333333333336</v>
      </c>
      <c r="AN161" s="494">
        <v>21230.09222484012</v>
      </c>
    </row>
    <row r="162" spans="37:40" ht="12.75">
      <c r="AK162" s="369"/>
      <c r="AL162" s="370"/>
      <c r="AM162" s="371"/>
      <c r="AN162" s="497"/>
    </row>
    <row r="163" spans="2:49" s="301" customFormat="1" ht="12.75">
      <c r="B163" s="402" t="s">
        <v>381</v>
      </c>
      <c r="C163" s="383"/>
      <c r="D163" s="403">
        <f>SUMPRODUCT(D145:D161,E145:E161)</f>
        <v>865531.59</v>
      </c>
      <c r="G163" s="402" t="s">
        <v>381</v>
      </c>
      <c r="H163" s="383"/>
      <c r="I163" s="403">
        <f>SUMPRODUCT(I145:I161,J145:J161)</f>
        <v>5234938.9761</v>
      </c>
      <c r="L163" s="402" t="s">
        <v>381</v>
      </c>
      <c r="M163" s="383"/>
      <c r="N163" s="403">
        <f>SUMPRODUCT(N145:N161,O145:O161)</f>
        <v>87080829.94818181</v>
      </c>
      <c r="Q163" s="402" t="s">
        <v>381</v>
      </c>
      <c r="R163" s="383"/>
      <c r="S163" s="403">
        <f>SUMPRODUCT(S145:S161,T145:T161)</f>
        <v>2247861.9383741594</v>
      </c>
      <c r="V163" s="402" t="s">
        <v>381</v>
      </c>
      <c r="W163" s="383"/>
      <c r="X163" s="403">
        <f>SUMPRODUCT(X145:X161,Y145:Y161)</f>
        <v>62782267.39479453</v>
      </c>
      <c r="AA163" s="402" t="s">
        <v>381</v>
      </c>
      <c r="AB163" s="383"/>
      <c r="AC163" s="403">
        <f>SUMPRODUCT(AC145:AC161,AD145:AD161)</f>
        <v>886877.7944444444</v>
      </c>
      <c r="AF163" s="402" t="s">
        <v>381</v>
      </c>
      <c r="AG163" s="383"/>
      <c r="AH163" s="403">
        <f>SUMPRODUCT(AH145:AH161,AI145:AI161)</f>
        <v>48686942.18</v>
      </c>
      <c r="AK163" s="402" t="s">
        <v>381</v>
      </c>
      <c r="AL163" s="383"/>
      <c r="AM163" s="403">
        <f>SUMPRODUCT(AM145:AM161,AN145:AN161)</f>
        <v>1286882.873333333</v>
      </c>
      <c r="AN163" s="404"/>
      <c r="AP163" s="402" t="s">
        <v>381</v>
      </c>
      <c r="AQ163" s="383"/>
      <c r="AR163" s="403">
        <f>SUMPRODUCT(AR145:AR161,AS145:AS161)</f>
        <v>1503395</v>
      </c>
      <c r="AU163" s="402" t="s">
        <v>381</v>
      </c>
      <c r="AV163" s="383"/>
      <c r="AW163" s="403">
        <f>SUMPRODUCT(AW145:AW161,AX145:AX161)</f>
        <v>350137.03833333333</v>
      </c>
    </row>
    <row r="164" spans="1:49" s="301" customFormat="1" ht="12.75">
      <c r="A164" s="318"/>
      <c r="B164" s="498"/>
      <c r="C164" s="169"/>
      <c r="D164" s="499"/>
      <c r="G164" s="498"/>
      <c r="H164" s="169"/>
      <c r="I164" s="499"/>
      <c r="L164" s="498"/>
      <c r="M164" s="169"/>
      <c r="N164" s="499"/>
      <c r="Q164" s="498"/>
      <c r="R164" s="169"/>
      <c r="S164" s="499"/>
      <c r="V164" s="498"/>
      <c r="W164" s="169"/>
      <c r="X164" s="499"/>
      <c r="AA164" s="498"/>
      <c r="AB164" s="169"/>
      <c r="AC164" s="499"/>
      <c r="AF164" s="498"/>
      <c r="AG164" s="169"/>
      <c r="AH164" s="499"/>
      <c r="AK164" s="498"/>
      <c r="AL164" s="169"/>
      <c r="AM164" s="499"/>
      <c r="AN164" s="404"/>
      <c r="AP164" s="498"/>
      <c r="AQ164" s="169"/>
      <c r="AR164" s="499"/>
      <c r="AU164" s="498"/>
      <c r="AV164" s="169"/>
      <c r="AW164" s="499"/>
    </row>
    <row r="165" spans="1:51" s="301" customFormat="1" ht="12.75">
      <c r="A165" s="519"/>
      <c r="B165" s="320" t="s">
        <v>37</v>
      </c>
      <c r="C165" s="321"/>
      <c r="D165" s="320" t="s">
        <v>346</v>
      </c>
      <c r="E165" s="500" t="s">
        <v>347</v>
      </c>
      <c r="F165" s="106"/>
      <c r="G165" s="320" t="s">
        <v>37</v>
      </c>
      <c r="H165" s="321"/>
      <c r="I165" s="320" t="s">
        <v>346</v>
      </c>
      <c r="J165" s="500" t="s">
        <v>347</v>
      </c>
      <c r="K165" s="106"/>
      <c r="L165" s="320" t="s">
        <v>37</v>
      </c>
      <c r="M165" s="321"/>
      <c r="N165" s="320" t="s">
        <v>346</v>
      </c>
      <c r="O165" s="500" t="s">
        <v>347</v>
      </c>
      <c r="P165" s="106"/>
      <c r="Q165" s="320" t="s">
        <v>37</v>
      </c>
      <c r="R165" s="321"/>
      <c r="S165" s="320" t="s">
        <v>346</v>
      </c>
      <c r="T165" s="500" t="s">
        <v>347</v>
      </c>
      <c r="U165" s="106"/>
      <c r="V165" s="320" t="s">
        <v>37</v>
      </c>
      <c r="W165" s="321"/>
      <c r="X165" s="320" t="s">
        <v>346</v>
      </c>
      <c r="Y165" s="500" t="s">
        <v>347</v>
      </c>
      <c r="Z165" s="106"/>
      <c r="AA165" s="320" t="s">
        <v>37</v>
      </c>
      <c r="AB165" s="321"/>
      <c r="AC165" s="320" t="s">
        <v>346</v>
      </c>
      <c r="AD165" s="500" t="s">
        <v>347</v>
      </c>
      <c r="AF165" s="320" t="s">
        <v>37</v>
      </c>
      <c r="AG165" s="321"/>
      <c r="AH165" s="320" t="s">
        <v>346</v>
      </c>
      <c r="AI165" s="500" t="s">
        <v>347</v>
      </c>
      <c r="AJ165" s="106"/>
      <c r="AK165" s="320" t="s">
        <v>37</v>
      </c>
      <c r="AL165" s="321"/>
      <c r="AM165" s="320" t="s">
        <v>346</v>
      </c>
      <c r="AN165" s="500" t="s">
        <v>347</v>
      </c>
      <c r="AP165" s="320" t="s">
        <v>37</v>
      </c>
      <c r="AQ165" s="321"/>
      <c r="AR165" s="320" t="s">
        <v>346</v>
      </c>
      <c r="AS165" s="500" t="s">
        <v>347</v>
      </c>
      <c r="AT165" s="106"/>
      <c r="AU165" s="320" t="s">
        <v>37</v>
      </c>
      <c r="AV165" s="321"/>
      <c r="AW165" s="320" t="s">
        <v>346</v>
      </c>
      <c r="AX165" s="500" t="s">
        <v>347</v>
      </c>
      <c r="AY165" s="106"/>
    </row>
    <row r="166" spans="1:51" s="301" customFormat="1" ht="12.75">
      <c r="A166" s="519"/>
      <c r="B166" s="325"/>
      <c r="C166" s="501"/>
      <c r="D166" s="502"/>
      <c r="E166" s="502"/>
      <c r="F166" s="503"/>
      <c r="G166" s="325" t="s">
        <v>36</v>
      </c>
      <c r="H166" s="501"/>
      <c r="I166" s="517">
        <v>1.6816499999999999</v>
      </c>
      <c r="J166" s="502">
        <v>104124</v>
      </c>
      <c r="K166" s="503"/>
      <c r="L166" s="325" t="s">
        <v>36</v>
      </c>
      <c r="M166" s="501"/>
      <c r="N166" s="502"/>
      <c r="O166" s="502"/>
      <c r="P166" s="503"/>
      <c r="Q166" s="325" t="s">
        <v>36</v>
      </c>
      <c r="R166" s="501"/>
      <c r="S166" s="517">
        <v>5</v>
      </c>
      <c r="T166" s="504">
        <v>1932.3973414864056</v>
      </c>
      <c r="U166" s="503"/>
      <c r="V166" s="325" t="s">
        <v>36</v>
      </c>
      <c r="W166" s="501"/>
      <c r="X166" s="517">
        <v>1.498442871068698</v>
      </c>
      <c r="Y166" s="504">
        <v>648701.865</v>
      </c>
      <c r="Z166" s="503"/>
      <c r="AA166" s="325" t="s">
        <v>36</v>
      </c>
      <c r="AB166" s="501"/>
      <c r="AC166" s="502">
        <v>11.48</v>
      </c>
      <c r="AD166" s="502">
        <v>5615</v>
      </c>
      <c r="AF166" s="325" t="s">
        <v>36</v>
      </c>
      <c r="AG166" s="501"/>
      <c r="AH166" s="517">
        <v>6.735001622231607</v>
      </c>
      <c r="AI166" s="504">
        <v>215750.65627356584</v>
      </c>
      <c r="AJ166" s="503"/>
      <c r="AK166" s="325" t="s">
        <v>36</v>
      </c>
      <c r="AL166" s="501"/>
      <c r="AM166" s="517">
        <v>3.6783333333333337</v>
      </c>
      <c r="AN166" s="504">
        <v>2302.2927050294516</v>
      </c>
      <c r="AP166" s="325" t="s">
        <v>36</v>
      </c>
      <c r="AQ166" s="501"/>
      <c r="AR166" s="502">
        <v>3.53</v>
      </c>
      <c r="AS166" s="502">
        <v>15114</v>
      </c>
      <c r="AT166" s="503"/>
      <c r="AU166" s="325" t="s">
        <v>36</v>
      </c>
      <c r="AV166" s="501"/>
      <c r="AW166" s="502"/>
      <c r="AX166" s="502"/>
      <c r="AY166" s="503"/>
    </row>
    <row r="167" spans="1:51" s="301" customFormat="1" ht="12.75">
      <c r="A167" s="519"/>
      <c r="B167" s="505"/>
      <c r="C167" s="506"/>
      <c r="D167" s="507"/>
      <c r="E167" s="507"/>
      <c r="F167" s="503"/>
      <c r="G167" s="505"/>
      <c r="H167" s="506"/>
      <c r="I167" s="507"/>
      <c r="J167" s="507"/>
      <c r="K167" s="503"/>
      <c r="L167" s="505"/>
      <c r="M167" s="506"/>
      <c r="N167" s="507"/>
      <c r="O167" s="507"/>
      <c r="P167" s="503"/>
      <c r="Q167" s="505"/>
      <c r="R167" s="506"/>
      <c r="S167" s="507"/>
      <c r="T167" s="507"/>
      <c r="U167" s="503"/>
      <c r="V167" s="505"/>
      <c r="W167" s="506"/>
      <c r="X167" s="507"/>
      <c r="Y167" s="507"/>
      <c r="Z167" s="503"/>
      <c r="AA167" s="505"/>
      <c r="AB167" s="506"/>
      <c r="AC167" s="507"/>
      <c r="AD167" s="507"/>
      <c r="AF167" s="505"/>
      <c r="AG167" s="506"/>
      <c r="AH167" s="507"/>
      <c r="AI167" s="507"/>
      <c r="AJ167" s="503"/>
      <c r="AK167" s="505"/>
      <c r="AL167" s="506"/>
      <c r="AM167" s="507"/>
      <c r="AN167" s="507"/>
      <c r="AP167" s="505"/>
      <c r="AQ167" s="506"/>
      <c r="AR167" s="507"/>
      <c r="AS167" s="507"/>
      <c r="AT167" s="503"/>
      <c r="AU167" s="505"/>
      <c r="AV167" s="506"/>
      <c r="AW167" s="507"/>
      <c r="AX167" s="507"/>
      <c r="AY167" s="503"/>
    </row>
    <row r="168" spans="1:51" s="301" customFormat="1" ht="12.75">
      <c r="A168" s="519"/>
      <c r="B168" s="369"/>
      <c r="C168" s="370"/>
      <c r="D168" s="375"/>
      <c r="E168" s="371"/>
      <c r="F168" s="106"/>
      <c r="G168" s="369"/>
      <c r="H168" s="370"/>
      <c r="I168" s="375"/>
      <c r="J168" s="371"/>
      <c r="K168" s="106"/>
      <c r="L168" s="369"/>
      <c r="M168" s="370"/>
      <c r="N168" s="375"/>
      <c r="O168" s="371"/>
      <c r="P168" s="106"/>
      <c r="Q168" s="369"/>
      <c r="R168" s="370"/>
      <c r="S168" s="375"/>
      <c r="T168" s="371"/>
      <c r="U168" s="106"/>
      <c r="V168" s="369"/>
      <c r="W168" s="370"/>
      <c r="X168" s="375"/>
      <c r="Y168" s="371"/>
      <c r="Z168" s="106"/>
      <c r="AA168" s="369"/>
      <c r="AB168" s="370"/>
      <c r="AC168" s="375"/>
      <c r="AD168" s="371"/>
      <c r="AF168" s="369"/>
      <c r="AG168" s="370"/>
      <c r="AH168" s="375"/>
      <c r="AI168" s="371"/>
      <c r="AJ168" s="106"/>
      <c r="AK168" s="369"/>
      <c r="AL168" s="370"/>
      <c r="AM168" s="375"/>
      <c r="AN168" s="371"/>
      <c r="AP168" s="369"/>
      <c r="AQ168" s="370"/>
      <c r="AR168" s="375"/>
      <c r="AS168" s="371"/>
      <c r="AT168" s="106"/>
      <c r="AU168" s="369"/>
      <c r="AV168" s="370"/>
      <c r="AW168" s="375"/>
      <c r="AX168" s="371"/>
      <c r="AY168" s="106"/>
    </row>
    <row r="169" spans="1:49" s="301" customFormat="1" ht="12.75">
      <c r="A169" s="519"/>
      <c r="B169" s="402" t="s">
        <v>381</v>
      </c>
      <c r="C169" s="383"/>
      <c r="D169" s="403">
        <f>SUMPRODUCT(D166:D167,E166:E167)</f>
        <v>0</v>
      </c>
      <c r="G169" s="402" t="s">
        <v>381</v>
      </c>
      <c r="H169" s="383"/>
      <c r="I169" s="403">
        <f>SUMPRODUCT(I166:I167,J166:J167)</f>
        <v>175100.12459999998</v>
      </c>
      <c r="L169" s="402" t="s">
        <v>381</v>
      </c>
      <c r="M169" s="383"/>
      <c r="N169" s="403">
        <f>SUMPRODUCT(N166:N167,O166:O167)</f>
        <v>0</v>
      </c>
      <c r="Q169" s="402" t="s">
        <v>381</v>
      </c>
      <c r="R169" s="383"/>
      <c r="S169" s="403">
        <f>SUMPRODUCT(S166:S167,T166:T167)</f>
        <v>9661.986707432028</v>
      </c>
      <c r="V169" s="402" t="s">
        <v>381</v>
      </c>
      <c r="W169" s="383"/>
      <c r="X169" s="403">
        <f>SUMPRODUCT(X166:X167,Y166:Y167)</f>
        <v>972042.6850582189</v>
      </c>
      <c r="AA169" s="402" t="s">
        <v>381</v>
      </c>
      <c r="AB169" s="383"/>
      <c r="AC169" s="403">
        <f>SUMPRODUCT(AC166:AC167,AD166:AD167)</f>
        <v>64460.200000000004</v>
      </c>
      <c r="AF169" s="402" t="s">
        <v>381</v>
      </c>
      <c r="AG169" s="383"/>
      <c r="AH169" s="403">
        <f>SUMPRODUCT(AH166:AH167,AI166:AI167)</f>
        <v>1453081.0199999998</v>
      </c>
      <c r="AK169" s="402" t="s">
        <v>381</v>
      </c>
      <c r="AL169" s="383"/>
      <c r="AM169" s="403">
        <f>SUMPRODUCT(AM166:AM167,AN166:AN167)</f>
        <v>8468.6</v>
      </c>
      <c r="AN169" s="404"/>
      <c r="AP169" s="402" t="s">
        <v>381</v>
      </c>
      <c r="AQ169" s="383"/>
      <c r="AR169" s="403">
        <f>SUMPRODUCT(AR166:AR167,AS166:AS167)</f>
        <v>53352.42</v>
      </c>
      <c r="AU169" s="402" t="s">
        <v>381</v>
      </c>
      <c r="AV169" s="383"/>
      <c r="AW169" s="403">
        <f>SUMPRODUCT(AW166:AW167,AX166:AX167)</f>
        <v>0</v>
      </c>
    </row>
    <row r="170" ht="12.75">
      <c r="AK170" s="392"/>
    </row>
    <row r="171" ht="12.75">
      <c r="AK171" s="392"/>
    </row>
    <row r="172" spans="2:47" s="301" customFormat="1" ht="12.75">
      <c r="B172" s="103" t="s">
        <v>139</v>
      </c>
      <c r="G172" s="103" t="s">
        <v>58</v>
      </c>
      <c r="L172" s="103" t="s">
        <v>141</v>
      </c>
      <c r="Q172" s="103" t="s">
        <v>388</v>
      </c>
      <c r="V172" s="103" t="s">
        <v>142</v>
      </c>
      <c r="AA172" s="103" t="s">
        <v>143</v>
      </c>
      <c r="AF172" s="103" t="s">
        <v>140</v>
      </c>
      <c r="AK172" s="103" t="s">
        <v>59</v>
      </c>
      <c r="AP172" s="103" t="s">
        <v>256</v>
      </c>
      <c r="AU172" s="103" t="s">
        <v>177</v>
      </c>
    </row>
    <row r="173" spans="2:50" s="301" customFormat="1" ht="12.75">
      <c r="B173" s="382"/>
      <c r="C173" s="383"/>
      <c r="D173" s="104" t="s">
        <v>346</v>
      </c>
      <c r="E173" s="105" t="s">
        <v>347</v>
      </c>
      <c r="G173" s="382"/>
      <c r="H173" s="383"/>
      <c r="I173" s="104" t="s">
        <v>346</v>
      </c>
      <c r="J173" s="105" t="s">
        <v>347</v>
      </c>
      <c r="L173" s="382"/>
      <c r="M173" s="383"/>
      <c r="N173" s="104" t="s">
        <v>346</v>
      </c>
      <c r="O173" s="105" t="s">
        <v>347</v>
      </c>
      <c r="Q173" s="382"/>
      <c r="R173" s="383"/>
      <c r="S173" s="104" t="s">
        <v>346</v>
      </c>
      <c r="T173" s="105" t="s">
        <v>347</v>
      </c>
      <c r="V173" s="382"/>
      <c r="W173" s="383"/>
      <c r="X173" s="104" t="s">
        <v>346</v>
      </c>
      <c r="Y173" s="105" t="s">
        <v>347</v>
      </c>
      <c r="AA173" s="382"/>
      <c r="AB173" s="383"/>
      <c r="AC173" s="104" t="s">
        <v>346</v>
      </c>
      <c r="AD173" s="105" t="s">
        <v>347</v>
      </c>
      <c r="AF173" s="382"/>
      <c r="AG173" s="383"/>
      <c r="AH173" s="104" t="s">
        <v>346</v>
      </c>
      <c r="AI173" s="105" t="s">
        <v>347</v>
      </c>
      <c r="AK173" s="382"/>
      <c r="AL173" s="383"/>
      <c r="AM173" s="104" t="s">
        <v>346</v>
      </c>
      <c r="AN173" s="105" t="s">
        <v>347</v>
      </c>
      <c r="AP173" s="382"/>
      <c r="AQ173" s="383"/>
      <c r="AR173" s="104"/>
      <c r="AS173" s="105"/>
      <c r="AU173" s="382"/>
      <c r="AV173" s="383"/>
      <c r="AW173" s="104" t="s">
        <v>346</v>
      </c>
      <c r="AX173" s="105" t="s">
        <v>347</v>
      </c>
    </row>
    <row r="174" spans="2:50" s="301" customFormat="1" ht="12.75">
      <c r="B174" s="509" t="s">
        <v>348</v>
      </c>
      <c r="C174" s="510"/>
      <c r="D174" s="327">
        <f>D156</f>
        <v>4.69</v>
      </c>
      <c r="E174" s="406">
        <f>E156</f>
        <v>21663</v>
      </c>
      <c r="F174" s="200"/>
      <c r="G174" s="509" t="s">
        <v>348</v>
      </c>
      <c r="H174" s="510"/>
      <c r="I174" s="327">
        <f>I156</f>
        <v>2.28</v>
      </c>
      <c r="J174" s="406">
        <f>J156</f>
        <v>82800</v>
      </c>
      <c r="K174" s="200"/>
      <c r="L174" s="509" t="s">
        <v>348</v>
      </c>
      <c r="M174" s="510"/>
      <c r="N174" s="327">
        <f>N159</f>
        <v>3.53</v>
      </c>
      <c r="O174" s="406">
        <f>O159</f>
        <v>912136</v>
      </c>
      <c r="P174" s="200"/>
      <c r="Q174" s="509" t="s">
        <v>348</v>
      </c>
      <c r="R174" s="510"/>
      <c r="S174" s="327">
        <f>S156</f>
        <v>6.737260273972603</v>
      </c>
      <c r="T174" s="406">
        <f>T156</f>
        <v>41640.5</v>
      </c>
      <c r="U174" s="200"/>
      <c r="V174" s="509" t="s">
        <v>348</v>
      </c>
      <c r="W174" s="510"/>
      <c r="X174" s="327">
        <f>X156</f>
        <v>8.4</v>
      </c>
      <c r="Y174" s="406">
        <f>Y156</f>
        <v>716357.5</v>
      </c>
      <c r="Z174" s="200"/>
      <c r="AA174" s="509" t="s">
        <v>348</v>
      </c>
      <c r="AB174" s="510"/>
      <c r="AC174" s="327">
        <f>AC153</f>
        <v>10.61</v>
      </c>
      <c r="AD174" s="406">
        <f>AD153</f>
        <v>17491</v>
      </c>
      <c r="AE174" s="200"/>
      <c r="AF174" s="509" t="s">
        <v>348</v>
      </c>
      <c r="AG174" s="510"/>
      <c r="AH174" s="327">
        <f>AH145</f>
        <v>7.727205275273999</v>
      </c>
      <c r="AI174" s="406">
        <f>AI145</f>
        <v>640309.9159061172</v>
      </c>
      <c r="AJ174" s="200"/>
      <c r="AK174" s="509" t="s">
        <v>348</v>
      </c>
      <c r="AL174" s="510"/>
      <c r="AM174" s="327">
        <f>AM161</f>
        <v>2.4758333333333336</v>
      </c>
      <c r="AN174" s="406">
        <f>AN161</f>
        <v>21230.09222484012</v>
      </c>
      <c r="AP174" s="509" t="s">
        <v>348</v>
      </c>
      <c r="AQ174" s="510"/>
      <c r="AR174" s="327">
        <f>AR151</f>
        <v>0</v>
      </c>
      <c r="AS174" s="406">
        <f>AS151</f>
        <v>0</v>
      </c>
      <c r="AT174" s="200"/>
      <c r="AU174" s="509" t="s">
        <v>348</v>
      </c>
      <c r="AV174" s="510"/>
      <c r="AW174" s="327">
        <f>AW154</f>
        <v>2.335</v>
      </c>
      <c r="AX174" s="406">
        <f>AX154</f>
        <v>8364.873661670234</v>
      </c>
    </row>
    <row r="175" spans="2:50" s="301" customFormat="1" ht="12.75">
      <c r="B175" s="509" t="s">
        <v>349</v>
      </c>
      <c r="C175" s="510"/>
      <c r="D175" s="342">
        <f>SUMPRODUCT(D154:D155,E154:E155)/SUM(E154:E155)</f>
        <v>13.43</v>
      </c>
      <c r="E175" s="407">
        <f>SUM(E154:E155)</f>
        <v>49498</v>
      </c>
      <c r="F175" s="200"/>
      <c r="G175" s="509" t="s">
        <v>349</v>
      </c>
      <c r="H175" s="510"/>
      <c r="I175" s="342">
        <f>SUMPRODUCT(I154:I155,J154:J155)/SUM(J154:J155)</f>
        <v>21.96</v>
      </c>
      <c r="J175" s="407">
        <f>SUM(J154:J155)</f>
        <v>188407.60583333333</v>
      </c>
      <c r="K175" s="200"/>
      <c r="L175" s="509" t="s">
        <v>349</v>
      </c>
      <c r="M175" s="510"/>
      <c r="N175" s="342">
        <f>SUMPRODUCT(N157:N158,O157:O158)/SUM(O157:O158)</f>
        <v>29.199999999999996</v>
      </c>
      <c r="O175" s="407">
        <f>SUM(O157:O158)</f>
        <v>2402342</v>
      </c>
      <c r="P175" s="200"/>
      <c r="Q175" s="509" t="s">
        <v>349</v>
      </c>
      <c r="R175" s="510"/>
      <c r="S175" s="342">
        <f>SUMPRODUCT(S154:S155,T154:T155)/SUM(T154:T155)</f>
        <v>14.257534246575343</v>
      </c>
      <c r="T175" s="407">
        <f>SUM(T154:T155)</f>
        <v>96727.72519022964</v>
      </c>
      <c r="U175" s="200"/>
      <c r="V175" s="509" t="s">
        <v>349</v>
      </c>
      <c r="W175" s="510"/>
      <c r="X175" s="342">
        <f>X145</f>
        <v>16.289424657534248</v>
      </c>
      <c r="Y175" s="407">
        <f>Y145</f>
        <v>2646051.5</v>
      </c>
      <c r="Z175" s="200"/>
      <c r="AA175" s="509" t="s">
        <v>349</v>
      </c>
      <c r="AB175" s="510"/>
      <c r="AC175" s="342">
        <f>SUMPRODUCT(AC151:AC152,AD151:AD152)/SUM(AD151:AD152)</f>
        <v>21.45</v>
      </c>
      <c r="AD175" s="407">
        <f>SUM(AD151:AD152)</f>
        <v>29378.5</v>
      </c>
      <c r="AE175" s="200"/>
      <c r="AF175" s="509" t="s">
        <v>349</v>
      </c>
      <c r="AG175" s="510"/>
      <c r="AH175" s="342">
        <f>AH146</f>
        <v>19.98837929711354</v>
      </c>
      <c r="AI175" s="407">
        <f>AI146</f>
        <v>1842085.481403543</v>
      </c>
      <c r="AJ175" s="200"/>
      <c r="AK175" s="509" t="s">
        <v>349</v>
      </c>
      <c r="AL175" s="510"/>
      <c r="AM175" s="342">
        <f>AM160</f>
        <v>13.0575</v>
      </c>
      <c r="AN175" s="407">
        <f>AN160</f>
        <v>44278.04403599463</v>
      </c>
      <c r="AP175" s="509" t="s">
        <v>349</v>
      </c>
      <c r="AQ175" s="510"/>
      <c r="AR175" s="342">
        <f>SUMPRODUCT(AR149:AR150,AS149:AS150)/SUM(AS149:AS150)</f>
        <v>29.2</v>
      </c>
      <c r="AS175" s="407">
        <f>SUM(AS149:AS150)</f>
        <v>45100</v>
      </c>
      <c r="AT175" s="200"/>
      <c r="AU175" s="509" t="s">
        <v>349</v>
      </c>
      <c r="AV175" s="510"/>
      <c r="AW175" s="342">
        <f>SUMPRODUCT(AW152:AW153,AX152:AX153)/SUM(AX152:AX153)</f>
        <v>7.67</v>
      </c>
      <c r="AX175" s="407">
        <f>SUM(AX152:AX153)</f>
        <v>35347.52542372882</v>
      </c>
    </row>
    <row r="176" spans="2:50" s="301" customFormat="1" ht="12.75">
      <c r="B176" s="509" t="s">
        <v>350</v>
      </c>
      <c r="C176" s="510"/>
      <c r="D176" s="352">
        <f>SUMPRODUCT(D152:D153,E152:E153)/SUM(E152:E153)</f>
        <v>13.43</v>
      </c>
      <c r="E176" s="408">
        <f>SUM(E152:E153)</f>
        <v>1571</v>
      </c>
      <c r="F176" s="200"/>
      <c r="G176" s="509" t="s">
        <v>350</v>
      </c>
      <c r="H176" s="510"/>
      <c r="I176" s="352">
        <f>SUMPRODUCT(I152:I153,J152:J153)/SUM(J152:J153)</f>
        <v>36.24</v>
      </c>
      <c r="J176" s="408">
        <f>SUM(J152:J153)</f>
        <v>8006.8</v>
      </c>
      <c r="K176" s="200"/>
      <c r="L176" s="509" t="s">
        <v>350</v>
      </c>
      <c r="M176" s="510"/>
      <c r="N176" s="352">
        <f>SUMPRODUCT(N155:N156,O155:O156)/SUM(O155:O156)</f>
        <v>33.3</v>
      </c>
      <c r="O176" s="408">
        <f>SUM(O155:O156)</f>
        <v>65356</v>
      </c>
      <c r="P176" s="200"/>
      <c r="Q176" s="509" t="s">
        <v>350</v>
      </c>
      <c r="R176" s="510"/>
      <c r="S176" s="352">
        <f>SUMPRODUCT(S152:S153,T152:T153)/SUM(T152:T153)</f>
        <v>14.257534246575343</v>
      </c>
      <c r="T176" s="408">
        <f>SUM(T152:T153)</f>
        <v>3120.0760476228243</v>
      </c>
      <c r="U176" s="200"/>
      <c r="V176" s="509" t="s">
        <v>350</v>
      </c>
      <c r="W176" s="510"/>
      <c r="X176" s="352">
        <f>SUMPRODUCT(X146:X147,Y146:Y147)/SUM(Y146:Y147)</f>
        <v>26.898212130926904</v>
      </c>
      <c r="Y176" s="408">
        <f>SUM(Y146:Y147)</f>
        <v>113832</v>
      </c>
      <c r="Z176" s="200"/>
      <c r="AA176" s="509" t="s">
        <v>350</v>
      </c>
      <c r="AB176" s="510"/>
      <c r="AC176" s="352">
        <f>SUMPRODUCT(AC149:AC150,AD149:AD150)/SUM(AD149:AD150)</f>
        <v>34.78</v>
      </c>
      <c r="AD176" s="408">
        <f>SUM(AD149:AD150)</f>
        <v>1117</v>
      </c>
      <c r="AE176" s="200"/>
      <c r="AF176" s="509" t="s">
        <v>350</v>
      </c>
      <c r="AG176" s="510"/>
      <c r="AH176" s="352">
        <f>SUMPRODUCT(AH147:AH148,AI147:AI148)/SUM(AI147:AI148)</f>
        <v>40.66799989783294</v>
      </c>
      <c r="AI176" s="408">
        <f>SUM(AI147:AI148)</f>
        <v>80468.7245062765</v>
      </c>
      <c r="AJ176" s="200"/>
      <c r="AK176" s="509" t="s">
        <v>350</v>
      </c>
      <c r="AL176" s="510"/>
      <c r="AM176" s="352">
        <f>SUMPRODUCT(AM156:AM159,AN156:AN159)/SUM(AN156:AN159)</f>
        <v>32.82541402283673</v>
      </c>
      <c r="AN176" s="408">
        <f>SUM(AN156:AN159)</f>
        <v>4386.882189197968</v>
      </c>
      <c r="AP176" s="509" t="s">
        <v>350</v>
      </c>
      <c r="AQ176" s="510"/>
      <c r="AR176" s="352">
        <f>AR148</f>
        <v>33.3</v>
      </c>
      <c r="AS176" s="408">
        <f>AS148</f>
        <v>1690</v>
      </c>
      <c r="AT176" s="200"/>
      <c r="AU176" s="509" t="s">
        <v>350</v>
      </c>
      <c r="AV176" s="510"/>
      <c r="AW176" s="352">
        <f>SUMPRODUCT(AW150:AW151,AX150:AX151)/SUM(AX150:AX151)</f>
        <v>7.67</v>
      </c>
      <c r="AX176" s="408">
        <f>SUM(AX150:AX151)</f>
        <v>1874.4406779661024</v>
      </c>
    </row>
    <row r="177" spans="2:50" s="301" customFormat="1" ht="12.75">
      <c r="B177" s="509" t="s">
        <v>341</v>
      </c>
      <c r="C177" s="510"/>
      <c r="D177" s="361">
        <f>SUMPRODUCT(D150:D151,E150:E151)/SUM(E150:E151)</f>
        <v>134.82951515151512</v>
      </c>
      <c r="E177" s="409">
        <f>SUM(E150:E151)</f>
        <v>495</v>
      </c>
      <c r="F177" s="200"/>
      <c r="G177" s="509" t="s">
        <v>341</v>
      </c>
      <c r="H177" s="510"/>
      <c r="I177" s="361">
        <f>SUMPRODUCT(I150:I151,J150:J151)/SUM(J150:J151)</f>
        <v>122.96695768972465</v>
      </c>
      <c r="J177" s="409">
        <f>SUM(J150:J151)</f>
        <v>1737.1666666666665</v>
      </c>
      <c r="K177" s="200"/>
      <c r="L177" s="509" t="s">
        <v>341</v>
      </c>
      <c r="M177" s="510"/>
      <c r="N177" s="361">
        <f>SUMPRODUCT(N153:N154,O153:O154)/SUM(O153:O154)</f>
        <v>158</v>
      </c>
      <c r="O177" s="409">
        <f>SUM(O153:O154)</f>
        <v>32720</v>
      </c>
      <c r="P177" s="200"/>
      <c r="Q177" s="509" t="s">
        <v>341</v>
      </c>
      <c r="R177" s="510"/>
      <c r="S177" s="361">
        <f>SUMPRODUCT(S150:S151,T150:T151)/SUM(T150:T151)</f>
        <v>218.74301369863014</v>
      </c>
      <c r="T177" s="409">
        <f>SUM(T150:T151)</f>
        <v>748.458629044287</v>
      </c>
      <c r="U177" s="200"/>
      <c r="V177" s="509" t="s">
        <v>341</v>
      </c>
      <c r="W177" s="510"/>
      <c r="X177" s="361">
        <f>SUMPRODUCT(X148:X151,Y148:Y151)/SUM(Y148:Y151)</f>
        <v>270.4966590323972</v>
      </c>
      <c r="Y177" s="409">
        <f>SUM(Y148:Y151)</f>
        <v>24212.5</v>
      </c>
      <c r="Z177" s="200"/>
      <c r="AA177" s="509" t="s">
        <v>341</v>
      </c>
      <c r="AB177" s="510"/>
      <c r="AC177" s="361">
        <f>SUMPRODUCT(AC147:AC148,AD147:AD148)/SUM(AD147:AD148)</f>
        <v>98.42400107463855</v>
      </c>
      <c r="AD177" s="409">
        <f>SUM(AD147:AD148)</f>
        <v>227.46666666666664</v>
      </c>
      <c r="AE177" s="200"/>
      <c r="AF177" s="509" t="s">
        <v>341</v>
      </c>
      <c r="AG177" s="510"/>
      <c r="AH177" s="361">
        <f>AH149</f>
        <v>69.78134625774697</v>
      </c>
      <c r="AI177" s="409">
        <f>AI149</f>
        <v>10253.915385310629</v>
      </c>
      <c r="AJ177" s="200"/>
      <c r="AK177" s="509" t="s">
        <v>341</v>
      </c>
      <c r="AL177" s="510"/>
      <c r="AM177" s="361">
        <f>SUMPRODUCT(AM149:AM155,AN149:AN155)/SUM(AN149:AN155)</f>
        <v>164.25056756729558</v>
      </c>
      <c r="AN177" s="409">
        <f>SUM(AN149:AN155)</f>
        <v>1159.2673500822793</v>
      </c>
      <c r="AP177" s="509" t="s">
        <v>341</v>
      </c>
      <c r="AQ177" s="510"/>
      <c r="AR177" s="361">
        <f>AR147</f>
        <v>158</v>
      </c>
      <c r="AS177" s="409">
        <f>AS147</f>
        <v>302</v>
      </c>
      <c r="AT177" s="200"/>
      <c r="AU177" s="509" t="s">
        <v>341</v>
      </c>
      <c r="AV177" s="510"/>
      <c r="AW177" s="361">
        <f>SUMPRODUCT(AW148:AW149,AX148:AX149)/SUM(AX148:AX149)</f>
        <v>16.70506647381718</v>
      </c>
      <c r="AX177" s="409">
        <f>SUM(AX148:AX149)</f>
        <v>832.1319775522929</v>
      </c>
    </row>
    <row r="178" spans="2:50" s="301" customFormat="1" ht="12.75">
      <c r="B178" s="509" t="s">
        <v>343</v>
      </c>
      <c r="C178" s="510"/>
      <c r="D178" s="380">
        <f>D149</f>
        <v>365.64</v>
      </c>
      <c r="E178" s="410">
        <f>E149</f>
        <v>31</v>
      </c>
      <c r="F178" s="200"/>
      <c r="G178" s="509" t="s">
        <v>343</v>
      </c>
      <c r="H178" s="510"/>
      <c r="I178" s="380">
        <f>I149</f>
        <v>1046.4306555671174</v>
      </c>
      <c r="J178" s="410">
        <f>J149</f>
        <v>320.3333333333333</v>
      </c>
      <c r="K178" s="200"/>
      <c r="L178" s="509" t="s">
        <v>343</v>
      </c>
      <c r="M178" s="510"/>
      <c r="N178" s="380">
        <f>SUMPRODUCT(N151:N152,O151:O152)/SUM(O151:O152)</f>
        <v>669.9606455892107</v>
      </c>
      <c r="O178" s="410">
        <f>SUM(O151:O152)</f>
        <v>9046</v>
      </c>
      <c r="P178" s="200"/>
      <c r="Q178" s="509" t="s">
        <v>343</v>
      </c>
      <c r="R178" s="510"/>
      <c r="S178" s="380">
        <f>S149</f>
        <v>628.7066301369863</v>
      </c>
      <c r="T178" s="410">
        <f>T149</f>
        <v>586.4032998067258</v>
      </c>
      <c r="U178" s="200"/>
      <c r="V178" s="509" t="s">
        <v>343</v>
      </c>
      <c r="W178" s="510"/>
      <c r="X178" s="380">
        <f>SUMPRODUCT(X152:X153,Y152:Y153)/SUM(Y152:Y153)</f>
        <v>1473.8859592775732</v>
      </c>
      <c r="Y178" s="410">
        <f>SUM(Y152:Y153)</f>
        <v>1834</v>
      </c>
      <c r="Z178" s="200"/>
      <c r="AA178" s="509" t="s">
        <v>343</v>
      </c>
      <c r="AB178" s="510"/>
      <c r="AC178" s="380">
        <f>SUMPRODUCT(AC145:AC146,AD145:AD146)/SUM(AD145:AD146)</f>
        <v>494.601</v>
      </c>
      <c r="AD178" s="410">
        <f>SUM(AD145:AD146)</f>
        <v>20</v>
      </c>
      <c r="AE178" s="200"/>
      <c r="AF178" s="509" t="s">
        <v>343</v>
      </c>
      <c r="AG178" s="510"/>
      <c r="AH178" s="380">
        <f>SUMPRODUCT(AH150:AH151,AI150:AI151)/SUM(AI150:AI151)</f>
        <v>552.1884842141836</v>
      </c>
      <c r="AI178" s="410">
        <f>SUM(AI150:AI151)</f>
        <v>3621.899007905227</v>
      </c>
      <c r="AJ178" s="200"/>
      <c r="AK178" s="509" t="s">
        <v>343</v>
      </c>
      <c r="AL178" s="510"/>
      <c r="AM178" s="380">
        <f>SUMPRODUCT(AM146:AM148,AN146:AN148)/SUM(AN146:AN148)</f>
        <v>1097.070812766722</v>
      </c>
      <c r="AN178" s="410">
        <f>SUM(AN146:AN148)</f>
        <v>214.41710624366016</v>
      </c>
      <c r="AP178" s="509" t="s">
        <v>343</v>
      </c>
      <c r="AQ178" s="510"/>
      <c r="AR178" s="380">
        <f>AR146</f>
        <v>629</v>
      </c>
      <c r="AS178" s="410">
        <f>AS146</f>
        <v>58</v>
      </c>
      <c r="AT178" s="200"/>
      <c r="AU178" s="509" t="s">
        <v>343</v>
      </c>
      <c r="AV178" s="510"/>
      <c r="AW178" s="380">
        <f>AW147</f>
        <v>997.25</v>
      </c>
      <c r="AX178" s="410">
        <f>AX147</f>
        <v>26.24597643519679</v>
      </c>
    </row>
    <row r="179" spans="2:50" s="301" customFormat="1" ht="12.75">
      <c r="B179" s="511" t="s">
        <v>345</v>
      </c>
      <c r="C179" s="512"/>
      <c r="D179" s="513"/>
      <c r="E179" s="514"/>
      <c r="F179" s="200"/>
      <c r="G179" s="511" t="s">
        <v>345</v>
      </c>
      <c r="H179" s="512"/>
      <c r="I179" s="513">
        <f>SUMPRODUCT(I145:I148,J145:J148)/SUM(J145:J148)</f>
        <v>6973.68</v>
      </c>
      <c r="J179" s="514">
        <f>SUM(J145:J148)</f>
        <v>10</v>
      </c>
      <c r="K179" s="200"/>
      <c r="L179" s="511" t="s">
        <v>345</v>
      </c>
      <c r="M179" s="512"/>
      <c r="N179" s="513">
        <f>SUMPRODUCT(N145:N150,O145:O150)/SUM(O145:O150)</f>
        <v>1977.0000000000002</v>
      </c>
      <c r="O179" s="514">
        <f>SUM(O145:O150)</f>
        <v>154.79244723410102</v>
      </c>
      <c r="P179" s="200"/>
      <c r="Q179" s="511" t="s">
        <v>345</v>
      </c>
      <c r="R179" s="512"/>
      <c r="S179" s="513">
        <f>SUMPRODUCT(S146:S148,T146:T148)/SUM(T146:T148)</f>
        <v>2419.760811370383</v>
      </c>
      <c r="T179" s="514">
        <f>SUM(T146:T148)</f>
        <v>4.686358924402846</v>
      </c>
      <c r="U179" s="200"/>
      <c r="V179" s="511" t="s">
        <v>345</v>
      </c>
      <c r="W179" s="512"/>
      <c r="X179" s="513">
        <f>SUMPRODUCT(X154:X155,Y154:Y155)/SUM(Y154:Y155)</f>
        <v>7550.831126971338</v>
      </c>
      <c r="Y179" s="514">
        <f>SUM(Y154:Y155)</f>
        <v>178.5</v>
      </c>
      <c r="Z179" s="200"/>
      <c r="AA179" s="511" t="s">
        <v>345</v>
      </c>
      <c r="AB179" s="512"/>
      <c r="AC179" s="513"/>
      <c r="AD179" s="514"/>
      <c r="AE179" s="200"/>
      <c r="AF179" s="511" t="s">
        <v>345</v>
      </c>
      <c r="AG179" s="512"/>
      <c r="AH179" s="513">
        <f>AH152</f>
        <v>6953.38</v>
      </c>
      <c r="AI179" s="514">
        <f>AI152</f>
        <v>133.86693907825543</v>
      </c>
      <c r="AJ179" s="200"/>
      <c r="AK179" s="511" t="s">
        <v>345</v>
      </c>
      <c r="AL179" s="512"/>
      <c r="AM179" s="513">
        <f>AM145</f>
        <v>4960.083333333333</v>
      </c>
      <c r="AN179" s="514">
        <f>AN145</f>
        <v>17.442821855633813</v>
      </c>
      <c r="AP179" s="511" t="s">
        <v>345</v>
      </c>
      <c r="AQ179" s="512"/>
      <c r="AR179" s="513">
        <f>AR145</f>
        <v>1977</v>
      </c>
      <c r="AS179" s="514">
        <f>AS145</f>
        <v>23.26757713707638</v>
      </c>
      <c r="AT179" s="200"/>
      <c r="AU179" s="511" t="s">
        <v>345</v>
      </c>
      <c r="AV179" s="512"/>
      <c r="AW179" s="513">
        <f>SUMPRODUCT(AW145:AW146,AX145:AX146)/SUM(AX145:AX146)</f>
        <v>2325.2115384615386</v>
      </c>
      <c r="AX179" s="514">
        <f>SUM(AX145:AX146)</f>
        <v>2.166666666666667</v>
      </c>
    </row>
    <row r="180" spans="2:50" s="318" customFormat="1" ht="12.75">
      <c r="B180" s="515" t="s">
        <v>381</v>
      </c>
      <c r="C180" s="516"/>
      <c r="D180" s="413">
        <f>SUMPRODUCT(D174:D179,E174:E179)</f>
        <v>865531.59</v>
      </c>
      <c r="E180" s="414"/>
      <c r="F180" s="195"/>
      <c r="G180" s="515" t="s">
        <v>381</v>
      </c>
      <c r="H180" s="516"/>
      <c r="I180" s="413">
        <f>SUMPRODUCT(I174:I179,J174:J179)</f>
        <v>5234938.9761</v>
      </c>
      <c r="J180" s="414"/>
      <c r="K180" s="195"/>
      <c r="L180" s="515" t="s">
        <v>381</v>
      </c>
      <c r="M180" s="516"/>
      <c r="N180" s="413">
        <f>SUMPRODUCT(N174:N179,O174:O179)</f>
        <v>87080829.94818181</v>
      </c>
      <c r="O180" s="414"/>
      <c r="P180" s="195"/>
      <c r="Q180" s="515" t="s">
        <v>381</v>
      </c>
      <c r="R180" s="516"/>
      <c r="S180" s="413">
        <f>SUMPRODUCT(S174:S179,T174:T179)</f>
        <v>2247861.9383741594</v>
      </c>
      <c r="T180" s="414"/>
      <c r="U180" s="195"/>
      <c r="V180" s="515" t="s">
        <v>381</v>
      </c>
      <c r="W180" s="516"/>
      <c r="X180" s="413">
        <f>SUMPRODUCT(X174:X179,Y174:Y179)</f>
        <v>62782267.39479452</v>
      </c>
      <c r="Y180" s="414"/>
      <c r="Z180" s="195"/>
      <c r="AA180" s="515" t="s">
        <v>381</v>
      </c>
      <c r="AB180" s="516"/>
      <c r="AC180" s="413">
        <f>SUMPRODUCT(AC174:AC179,AD174:AD179)</f>
        <v>886877.7944444445</v>
      </c>
      <c r="AD180" s="414"/>
      <c r="AE180" s="195"/>
      <c r="AF180" s="515" t="s">
        <v>381</v>
      </c>
      <c r="AG180" s="516"/>
      <c r="AH180" s="413">
        <f>SUMPRODUCT(AH174:AH179,AI174:AI179)</f>
        <v>48686942.18000001</v>
      </c>
      <c r="AI180" s="414"/>
      <c r="AJ180" s="195"/>
      <c r="AK180" s="515" t="s">
        <v>381</v>
      </c>
      <c r="AL180" s="516"/>
      <c r="AM180" s="413">
        <f>SUMPRODUCT(AM174:AM179,AN174:AN179)</f>
        <v>1286882.8733333333</v>
      </c>
      <c r="AN180" s="414"/>
      <c r="AP180" s="515" t="s">
        <v>381</v>
      </c>
      <c r="AQ180" s="516"/>
      <c r="AR180" s="413">
        <f>SUMPRODUCT(AR174:AR179,AS174:AS179)</f>
        <v>1503395</v>
      </c>
      <c r="AS180" s="414"/>
      <c r="AT180" s="195"/>
      <c r="AU180" s="515" t="s">
        <v>381</v>
      </c>
      <c r="AV180" s="516"/>
      <c r="AW180" s="413">
        <f>SUMPRODUCT(AW174:AW179,AX174:AX179)</f>
        <v>350137.03833333333</v>
      </c>
      <c r="AX180" s="414"/>
    </row>
    <row r="181" spans="1:40" s="301" customFormat="1" ht="12.75">
      <c r="A181" s="318"/>
      <c r="B181" s="498"/>
      <c r="C181" s="169"/>
      <c r="D181" s="499"/>
      <c r="G181" s="498"/>
      <c r="H181" s="169"/>
      <c r="I181" s="499"/>
      <c r="L181" s="498"/>
      <c r="M181" s="169"/>
      <c r="N181" s="499"/>
      <c r="Q181" s="498"/>
      <c r="R181" s="169"/>
      <c r="S181" s="499"/>
      <c r="V181" s="498"/>
      <c r="W181" s="169"/>
      <c r="X181" s="499"/>
      <c r="AA181" s="498"/>
      <c r="AB181" s="169"/>
      <c r="AC181" s="499"/>
      <c r="AF181" s="498"/>
      <c r="AG181" s="169"/>
      <c r="AH181" s="499"/>
      <c r="AK181" s="498"/>
      <c r="AL181" s="169"/>
      <c r="AM181" s="499"/>
      <c r="AN181" s="404"/>
    </row>
    <row r="182" spans="1:50" s="301" customFormat="1" ht="12.75">
      <c r="A182" s="189"/>
      <c r="B182" s="320" t="s">
        <v>37</v>
      </c>
      <c r="C182" s="321"/>
      <c r="D182" s="320" t="s">
        <v>346</v>
      </c>
      <c r="E182" s="500" t="s">
        <v>347</v>
      </c>
      <c r="F182" s="106"/>
      <c r="G182" s="320" t="s">
        <v>37</v>
      </c>
      <c r="H182" s="321"/>
      <c r="I182" s="320" t="s">
        <v>346</v>
      </c>
      <c r="J182" s="500" t="s">
        <v>347</v>
      </c>
      <c r="K182" s="106"/>
      <c r="L182" s="320" t="s">
        <v>37</v>
      </c>
      <c r="M182" s="321"/>
      <c r="N182" s="320" t="s">
        <v>346</v>
      </c>
      <c r="O182" s="500" t="s">
        <v>347</v>
      </c>
      <c r="P182" s="106"/>
      <c r="Q182" s="320" t="s">
        <v>37</v>
      </c>
      <c r="R182" s="321"/>
      <c r="S182" s="320" t="s">
        <v>346</v>
      </c>
      <c r="T182" s="500" t="s">
        <v>347</v>
      </c>
      <c r="U182" s="106"/>
      <c r="V182" s="320" t="s">
        <v>37</v>
      </c>
      <c r="W182" s="321"/>
      <c r="X182" s="320" t="s">
        <v>346</v>
      </c>
      <c r="Y182" s="500" t="s">
        <v>347</v>
      </c>
      <c r="Z182" s="106"/>
      <c r="AA182" s="320" t="s">
        <v>37</v>
      </c>
      <c r="AB182" s="321"/>
      <c r="AC182" s="320" t="s">
        <v>346</v>
      </c>
      <c r="AD182" s="500" t="s">
        <v>347</v>
      </c>
      <c r="AF182" s="320" t="s">
        <v>37</v>
      </c>
      <c r="AG182" s="321"/>
      <c r="AH182" s="320" t="s">
        <v>346</v>
      </c>
      <c r="AI182" s="500" t="s">
        <v>347</v>
      </c>
      <c r="AJ182" s="106"/>
      <c r="AK182" s="320" t="s">
        <v>37</v>
      </c>
      <c r="AL182" s="321"/>
      <c r="AM182" s="320" t="s">
        <v>346</v>
      </c>
      <c r="AN182" s="500" t="s">
        <v>347</v>
      </c>
      <c r="AP182" s="320" t="s">
        <v>37</v>
      </c>
      <c r="AQ182" s="321"/>
      <c r="AR182" s="320" t="s">
        <v>346</v>
      </c>
      <c r="AS182" s="500" t="s">
        <v>347</v>
      </c>
      <c r="AU182" s="320" t="s">
        <v>37</v>
      </c>
      <c r="AV182" s="321"/>
      <c r="AW182" s="320" t="s">
        <v>346</v>
      </c>
      <c r="AX182" s="500" t="s">
        <v>347</v>
      </c>
    </row>
    <row r="183" spans="1:50" s="301" customFormat="1" ht="12.75">
      <c r="A183" s="189"/>
      <c r="B183" s="325" t="s">
        <v>36</v>
      </c>
      <c r="C183" s="501"/>
      <c r="D183" s="502"/>
      <c r="E183" s="502"/>
      <c r="F183" s="503"/>
      <c r="G183" s="325" t="s">
        <v>36</v>
      </c>
      <c r="H183" s="501"/>
      <c r="I183" s="502">
        <f>SUMPRODUCT(I166:I167,J166:J167)/SUM(J166:J167)</f>
        <v>1.6816499999999999</v>
      </c>
      <c r="J183" s="502">
        <f>SUM(J166:J167)</f>
        <v>104124</v>
      </c>
      <c r="K183" s="503"/>
      <c r="L183" s="325" t="s">
        <v>36</v>
      </c>
      <c r="M183" s="501"/>
      <c r="N183" s="517"/>
      <c r="O183" s="504"/>
      <c r="P183" s="503"/>
      <c r="Q183" s="325" t="s">
        <v>36</v>
      </c>
      <c r="R183" s="501"/>
      <c r="S183" s="517">
        <f>SUMPRODUCT(S166:S167,T166:T167)/SUM(T166:T167)</f>
        <v>5</v>
      </c>
      <c r="T183" s="504">
        <f>SUM(T166:T167)</f>
        <v>1932.3973414864056</v>
      </c>
      <c r="U183" s="503"/>
      <c r="V183" s="325" t="s">
        <v>36</v>
      </c>
      <c r="W183" s="501"/>
      <c r="X183" s="517">
        <f>SUMPRODUCT(X166:X167,Y166:Y167)/SUM(Y166:Y167)</f>
        <v>1.498442871068698</v>
      </c>
      <c r="Y183" s="504">
        <f>SUM(Y166:Y167)</f>
        <v>648701.865</v>
      </c>
      <c r="Z183" s="503"/>
      <c r="AA183" s="325" t="s">
        <v>36</v>
      </c>
      <c r="AB183" s="501"/>
      <c r="AC183" s="517">
        <f>SUMPRODUCT(AC166:AC167,AD166:AD167)/SUM(AD166:AD167)</f>
        <v>11.48</v>
      </c>
      <c r="AD183" s="504">
        <f>SUM(AD166:AD167)</f>
        <v>5615</v>
      </c>
      <c r="AF183" s="325" t="s">
        <v>36</v>
      </c>
      <c r="AG183" s="501"/>
      <c r="AH183" s="502">
        <f>SUMPRODUCT(AH166:AH167,AI166:AI167)/SUM(AI166:AI167)</f>
        <v>6.735001622231607</v>
      </c>
      <c r="AI183" s="504">
        <f>SUM(AI166:AI167)</f>
        <v>215750.65627356584</v>
      </c>
      <c r="AJ183" s="503"/>
      <c r="AK183" s="325" t="s">
        <v>36</v>
      </c>
      <c r="AL183" s="501"/>
      <c r="AM183" s="517">
        <f>SUMPRODUCT(AM166:AM167,AN166:AN167)/SUM(AN166:AN167)</f>
        <v>3.6783333333333337</v>
      </c>
      <c r="AN183" s="504">
        <f>SUM(AN166:AN167)</f>
        <v>2302.2927050294516</v>
      </c>
      <c r="AP183" s="325" t="s">
        <v>36</v>
      </c>
      <c r="AQ183" s="501"/>
      <c r="AR183" s="517">
        <f>SUMPRODUCT(AR166:AR167,AS166:AS167)/SUM(AS166:AS167)</f>
        <v>3.53</v>
      </c>
      <c r="AS183" s="504">
        <f>SUM(AS166:AS167)</f>
        <v>15114</v>
      </c>
      <c r="AU183" s="325" t="s">
        <v>36</v>
      </c>
      <c r="AV183" s="501"/>
      <c r="AW183" s="517"/>
      <c r="AX183" s="504"/>
    </row>
    <row r="184" spans="1:50" s="301" customFormat="1" ht="12.75">
      <c r="A184" s="189"/>
      <c r="B184" s="369"/>
      <c r="C184" s="370"/>
      <c r="D184" s="375"/>
      <c r="E184" s="371"/>
      <c r="F184" s="106"/>
      <c r="G184" s="369"/>
      <c r="H184" s="370"/>
      <c r="I184" s="375"/>
      <c r="J184" s="371"/>
      <c r="K184" s="106"/>
      <c r="L184" s="369"/>
      <c r="M184" s="370"/>
      <c r="N184" s="375"/>
      <c r="O184" s="371"/>
      <c r="P184" s="106"/>
      <c r="Q184" s="369"/>
      <c r="R184" s="370"/>
      <c r="S184" s="375"/>
      <c r="T184" s="371"/>
      <c r="U184" s="106"/>
      <c r="V184" s="369"/>
      <c r="W184" s="370"/>
      <c r="X184" s="375"/>
      <c r="Y184" s="371"/>
      <c r="Z184" s="106"/>
      <c r="AA184" s="369"/>
      <c r="AB184" s="370"/>
      <c r="AC184" s="375"/>
      <c r="AD184" s="371"/>
      <c r="AF184" s="369"/>
      <c r="AG184" s="370"/>
      <c r="AH184" s="375"/>
      <c r="AI184" s="371"/>
      <c r="AJ184" s="106"/>
      <c r="AK184" s="369"/>
      <c r="AL184" s="370"/>
      <c r="AM184" s="375"/>
      <c r="AN184" s="371"/>
      <c r="AP184" s="369"/>
      <c r="AQ184" s="370"/>
      <c r="AR184" s="375"/>
      <c r="AS184" s="371"/>
      <c r="AU184" s="369"/>
      <c r="AV184" s="370"/>
      <c r="AW184" s="375"/>
      <c r="AX184" s="371"/>
    </row>
    <row r="185" spans="1:50" s="301" customFormat="1" ht="12.75">
      <c r="A185" s="189"/>
      <c r="B185" s="402" t="s">
        <v>381</v>
      </c>
      <c r="C185" s="383"/>
      <c r="D185" s="403">
        <f>D183*E183</f>
        <v>0</v>
      </c>
      <c r="G185" s="402" t="s">
        <v>381</v>
      </c>
      <c r="H185" s="383"/>
      <c r="I185" s="403">
        <f>I183*J183</f>
        <v>175100.12459999998</v>
      </c>
      <c r="L185" s="402" t="s">
        <v>381</v>
      </c>
      <c r="M185" s="383"/>
      <c r="N185" s="403">
        <f>N183*O183</f>
        <v>0</v>
      </c>
      <c r="Q185" s="402" t="s">
        <v>381</v>
      </c>
      <c r="R185" s="383"/>
      <c r="S185" s="403">
        <f>S183*T183</f>
        <v>9661.986707432028</v>
      </c>
      <c r="V185" s="402" t="s">
        <v>381</v>
      </c>
      <c r="W185" s="383"/>
      <c r="X185" s="403">
        <f>X183*Y183</f>
        <v>972042.6850582189</v>
      </c>
      <c r="AA185" s="402" t="s">
        <v>381</v>
      </c>
      <c r="AB185" s="383"/>
      <c r="AC185" s="403">
        <f>AC183*AD183</f>
        <v>64460.200000000004</v>
      </c>
      <c r="AF185" s="402" t="s">
        <v>381</v>
      </c>
      <c r="AG185" s="383"/>
      <c r="AH185" s="403">
        <f>AH183*AI183</f>
        <v>1453081.0199999998</v>
      </c>
      <c r="AK185" s="402" t="s">
        <v>381</v>
      </c>
      <c r="AL185" s="383"/>
      <c r="AM185" s="403">
        <f>AM183*AN183</f>
        <v>8468.6</v>
      </c>
      <c r="AN185" s="404"/>
      <c r="AP185" s="402" t="s">
        <v>381</v>
      </c>
      <c r="AQ185" s="383"/>
      <c r="AR185" s="403">
        <f>AR183*AS183</f>
        <v>53352.42</v>
      </c>
      <c r="AU185" s="402" t="s">
        <v>381</v>
      </c>
      <c r="AV185" s="383"/>
      <c r="AW185" s="403">
        <f>AW183*AX183</f>
        <v>0</v>
      </c>
      <c r="AX185" s="404"/>
    </row>
    <row r="186" spans="1:40" s="301" customFormat="1" ht="12.75">
      <c r="A186" s="318"/>
      <c r="B186" s="498"/>
      <c r="C186" s="169"/>
      <c r="D186" s="499"/>
      <c r="G186" s="498"/>
      <c r="H186" s="169"/>
      <c r="I186" s="499"/>
      <c r="L186" s="498"/>
      <c r="M186" s="169"/>
      <c r="N186" s="499"/>
      <c r="Q186" s="498"/>
      <c r="R186" s="169"/>
      <c r="S186" s="499"/>
      <c r="V186" s="498"/>
      <c r="W186" s="169"/>
      <c r="X186" s="499"/>
      <c r="AA186" s="498"/>
      <c r="AB186" s="169"/>
      <c r="AC186" s="499"/>
      <c r="AF186" s="498"/>
      <c r="AG186" s="169"/>
      <c r="AH186" s="499"/>
      <c r="AK186" s="498"/>
      <c r="AL186" s="169"/>
      <c r="AM186" s="499"/>
      <c r="AN186" s="404"/>
    </row>
    <row r="187" spans="2:50" s="318" customFormat="1" ht="12.75">
      <c r="B187" s="193"/>
      <c r="C187" s="193"/>
      <c r="D187" s="561"/>
      <c r="E187" s="562"/>
      <c r="G187" s="193"/>
      <c r="H187" s="193"/>
      <c r="I187" s="561"/>
      <c r="J187" s="562"/>
      <c r="L187" s="193"/>
      <c r="M187" s="193"/>
      <c r="N187" s="561"/>
      <c r="O187" s="562"/>
      <c r="Q187" s="193"/>
      <c r="R187" s="193"/>
      <c r="S187" s="561"/>
      <c r="T187" s="562"/>
      <c r="V187" s="193"/>
      <c r="W187" s="193"/>
      <c r="X187" s="561"/>
      <c r="Y187" s="562"/>
      <c r="AA187" s="193"/>
      <c r="AB187" s="193"/>
      <c r="AC187" s="561"/>
      <c r="AD187" s="562"/>
      <c r="AF187" s="193"/>
      <c r="AG187" s="193"/>
      <c r="AH187" s="561"/>
      <c r="AI187" s="562"/>
      <c r="AK187" s="193"/>
      <c r="AL187" s="193"/>
      <c r="AM187" s="561"/>
      <c r="AN187" s="562"/>
      <c r="AP187" s="193"/>
      <c r="AQ187" s="193"/>
      <c r="AR187" s="561"/>
      <c r="AS187" s="562"/>
      <c r="AU187" s="193"/>
      <c r="AV187" s="193"/>
      <c r="AW187" s="561"/>
      <c r="AX187" s="562"/>
    </row>
    <row r="188" spans="1:12" s="107" customFormat="1" ht="12.75">
      <c r="A188" s="107" t="s">
        <v>475</v>
      </c>
      <c r="B188" s="78"/>
      <c r="C188" s="108"/>
      <c r="D188" s="108"/>
      <c r="E188" s="108"/>
      <c r="F188" s="108"/>
      <c r="G188" s="108"/>
      <c r="H188" s="108"/>
      <c r="I188" s="108"/>
      <c r="J188" s="108"/>
      <c r="K188" s="108"/>
      <c r="L188" s="108"/>
    </row>
    <row r="189" spans="1:42" ht="12.75">
      <c r="A189" s="109"/>
      <c r="B189" s="301"/>
      <c r="C189" s="301"/>
      <c r="D189" s="301"/>
      <c r="E189" s="301"/>
      <c r="F189" s="301"/>
      <c r="G189" s="301"/>
      <c r="H189" s="301"/>
      <c r="I189" s="301"/>
      <c r="J189" s="301"/>
      <c r="AF189" s="301"/>
      <c r="AG189" s="301"/>
      <c r="AH189" s="301"/>
      <c r="AI189" s="301"/>
      <c r="AJ189" s="301"/>
      <c r="AP189" s="301"/>
    </row>
    <row r="190" spans="2:37" s="301" customFormat="1" ht="12.75">
      <c r="B190" s="319" t="s">
        <v>139</v>
      </c>
      <c r="G190" s="319" t="s">
        <v>58</v>
      </c>
      <c r="L190" s="319" t="s">
        <v>141</v>
      </c>
      <c r="O190" s="486"/>
      <c r="Q190" s="319" t="s">
        <v>388</v>
      </c>
      <c r="V190" s="319" t="s">
        <v>142</v>
      </c>
      <c r="AA190" s="319" t="s">
        <v>143</v>
      </c>
      <c r="AF190" s="319" t="s">
        <v>140</v>
      </c>
      <c r="AK190" s="103" t="s">
        <v>59</v>
      </c>
    </row>
    <row r="191" spans="2:40" s="301" customFormat="1" ht="12.75">
      <c r="B191" s="320" t="s">
        <v>227</v>
      </c>
      <c r="C191" s="321"/>
      <c r="D191" s="320" t="s">
        <v>346</v>
      </c>
      <c r="E191" s="500" t="s">
        <v>347</v>
      </c>
      <c r="G191" s="320" t="s">
        <v>227</v>
      </c>
      <c r="H191" s="321"/>
      <c r="I191" s="104" t="s">
        <v>346</v>
      </c>
      <c r="J191" s="273" t="s">
        <v>347</v>
      </c>
      <c r="L191" s="320" t="s">
        <v>227</v>
      </c>
      <c r="M191" s="321"/>
      <c r="N191" s="104" t="s">
        <v>346</v>
      </c>
      <c r="O191" s="105" t="s">
        <v>347</v>
      </c>
      <c r="Q191" s="320" t="s">
        <v>227</v>
      </c>
      <c r="R191" s="321"/>
      <c r="S191" s="104" t="s">
        <v>346</v>
      </c>
      <c r="T191" s="105" t="s">
        <v>347</v>
      </c>
      <c r="V191" s="320" t="s">
        <v>227</v>
      </c>
      <c r="W191" s="321"/>
      <c r="X191" s="104" t="s">
        <v>346</v>
      </c>
      <c r="Y191" s="105" t="s">
        <v>347</v>
      </c>
      <c r="AA191" s="320" t="s">
        <v>227</v>
      </c>
      <c r="AB191" s="321"/>
      <c r="AC191" s="104" t="s">
        <v>346</v>
      </c>
      <c r="AD191" s="105" t="s">
        <v>347</v>
      </c>
      <c r="AF191" s="320" t="s">
        <v>227</v>
      </c>
      <c r="AG191" s="321"/>
      <c r="AH191" s="104" t="s">
        <v>346</v>
      </c>
      <c r="AI191" s="105" t="s">
        <v>347</v>
      </c>
      <c r="AK191" s="320" t="s">
        <v>227</v>
      </c>
      <c r="AL191" s="321"/>
      <c r="AM191" s="104" t="s">
        <v>346</v>
      </c>
      <c r="AN191" s="105" t="s">
        <v>347</v>
      </c>
    </row>
    <row r="192" spans="2:40" s="301" customFormat="1" ht="12.75">
      <c r="B192" s="348" t="s">
        <v>257</v>
      </c>
      <c r="C192" s="331"/>
      <c r="D192" s="454"/>
      <c r="E192" s="453"/>
      <c r="G192" s="235" t="s">
        <v>377</v>
      </c>
      <c r="H192" s="331"/>
      <c r="I192" s="454"/>
      <c r="J192" s="453"/>
      <c r="L192" s="348" t="s">
        <v>208</v>
      </c>
      <c r="M192" s="331"/>
      <c r="N192" s="526">
        <v>1977</v>
      </c>
      <c r="O192" s="523">
        <v>141.92912263760496</v>
      </c>
      <c r="Q192" s="348" t="s">
        <v>257</v>
      </c>
      <c r="R192" s="331"/>
      <c r="S192" s="454"/>
      <c r="T192" s="453"/>
      <c r="V192" s="336" t="s">
        <v>260</v>
      </c>
      <c r="W192" s="326"/>
      <c r="X192" s="458">
        <v>16.32</v>
      </c>
      <c r="Y192" s="566">
        <v>2676633</v>
      </c>
      <c r="AA192" s="348" t="s">
        <v>210</v>
      </c>
      <c r="AB192" s="344"/>
      <c r="AC192" s="419">
        <v>1344</v>
      </c>
      <c r="AD192" s="524">
        <v>1</v>
      </c>
      <c r="AF192" s="336" t="s">
        <v>258</v>
      </c>
      <c r="AG192" s="331"/>
      <c r="AH192" s="564">
        <v>7.68</v>
      </c>
      <c r="AI192" s="565">
        <v>567848.6927083334</v>
      </c>
      <c r="AK192" s="348" t="s">
        <v>261</v>
      </c>
      <c r="AL192" s="331"/>
      <c r="AM192" s="526">
        <v>4968.37</v>
      </c>
      <c r="AN192" s="523">
        <v>22.228117684996672</v>
      </c>
    </row>
    <row r="193" spans="2:40" s="301" customFormat="1" ht="12.75">
      <c r="B193" s="348" t="s">
        <v>206</v>
      </c>
      <c r="C193" s="344"/>
      <c r="D193" s="465"/>
      <c r="E193" s="464"/>
      <c r="G193" s="235" t="s">
        <v>378</v>
      </c>
      <c r="H193" s="344"/>
      <c r="I193" s="465"/>
      <c r="J193" s="464"/>
      <c r="L193" s="348" t="s">
        <v>209</v>
      </c>
      <c r="M193" s="344"/>
      <c r="N193" s="472">
        <v>1977</v>
      </c>
      <c r="O193" s="529">
        <v>12.863324596496064</v>
      </c>
      <c r="Q193" s="348" t="s">
        <v>206</v>
      </c>
      <c r="R193" s="344"/>
      <c r="S193" s="465"/>
      <c r="T193" s="464"/>
      <c r="V193" s="348" t="s">
        <v>264</v>
      </c>
      <c r="W193" s="338"/>
      <c r="X193" s="467">
        <v>25.2</v>
      </c>
      <c r="Y193" s="485">
        <v>79591.16375</v>
      </c>
      <c r="AA193" s="348" t="s">
        <v>212</v>
      </c>
      <c r="AB193" s="344"/>
      <c r="AC193" s="419">
        <v>451.8</v>
      </c>
      <c r="AD193" s="524">
        <v>20.58</v>
      </c>
      <c r="AF193" s="348" t="s">
        <v>371</v>
      </c>
      <c r="AG193" s="344"/>
      <c r="AH193" s="430">
        <v>20.04</v>
      </c>
      <c r="AI193" s="490">
        <v>1857065.6212574851</v>
      </c>
      <c r="AK193" s="348" t="s">
        <v>265</v>
      </c>
      <c r="AL193" s="344"/>
      <c r="AM193" s="419">
        <v>1632.46</v>
      </c>
      <c r="AN193" s="524">
        <v>171.8474578301416</v>
      </c>
    </row>
    <row r="194" spans="2:40" s="301" customFormat="1" ht="12.75">
      <c r="B194" s="348" t="s">
        <v>266</v>
      </c>
      <c r="C194" s="344"/>
      <c r="D194" s="465"/>
      <c r="E194" s="464"/>
      <c r="G194" s="235" t="s">
        <v>362</v>
      </c>
      <c r="H194" s="344"/>
      <c r="I194" s="470">
        <v>6973.68</v>
      </c>
      <c r="J194" s="529">
        <v>10</v>
      </c>
      <c r="L194" s="348" t="s">
        <v>210</v>
      </c>
      <c r="M194" s="344"/>
      <c r="N194" s="419">
        <v>1703</v>
      </c>
      <c r="O194" s="524">
        <v>238.91972455025876</v>
      </c>
      <c r="Q194" s="348" t="s">
        <v>266</v>
      </c>
      <c r="R194" s="344"/>
      <c r="S194" s="472">
        <v>5423.960833319999</v>
      </c>
      <c r="T194" s="529">
        <v>1.1422905779429162</v>
      </c>
      <c r="V194" s="348" t="s">
        <v>270</v>
      </c>
      <c r="W194" s="338"/>
      <c r="X194" s="467">
        <v>30.6</v>
      </c>
      <c r="Y194" s="485">
        <v>38381.614708333334</v>
      </c>
      <c r="AA194" s="348" t="s">
        <v>213</v>
      </c>
      <c r="AB194" s="344"/>
      <c r="AC194" s="422">
        <v>153.6</v>
      </c>
      <c r="AD194" s="480">
        <v>124.94</v>
      </c>
      <c r="AF194" s="348" t="s">
        <v>372</v>
      </c>
      <c r="AG194" s="344"/>
      <c r="AH194" s="428">
        <v>40.8</v>
      </c>
      <c r="AI194" s="485">
        <v>76696.98235294118</v>
      </c>
      <c r="AK194" s="348" t="s">
        <v>271</v>
      </c>
      <c r="AL194" s="344"/>
      <c r="AM194" s="419">
        <v>631.68</v>
      </c>
      <c r="AN194" s="524">
        <v>6.297071213796647</v>
      </c>
    </row>
    <row r="195" spans="2:40" s="301" customFormat="1" ht="12.75">
      <c r="B195" s="348" t="s">
        <v>272</v>
      </c>
      <c r="C195" s="344"/>
      <c r="D195" s="465"/>
      <c r="E195" s="464"/>
      <c r="G195" s="235" t="s">
        <v>379</v>
      </c>
      <c r="H195" s="344"/>
      <c r="I195" s="474"/>
      <c r="J195" s="464"/>
      <c r="L195" s="348" t="s">
        <v>212</v>
      </c>
      <c r="M195" s="344"/>
      <c r="N195" s="419">
        <v>629</v>
      </c>
      <c r="O195" s="524">
        <v>9060.359108252638</v>
      </c>
      <c r="Q195" s="348" t="s">
        <v>275</v>
      </c>
      <c r="R195" s="344"/>
      <c r="S195" s="472">
        <v>1908.42</v>
      </c>
      <c r="T195" s="529">
        <v>3.980248312493384</v>
      </c>
      <c r="V195" s="348" t="s">
        <v>374</v>
      </c>
      <c r="W195" s="338"/>
      <c r="X195" s="475">
        <v>30.6</v>
      </c>
      <c r="Y195" s="480">
        <v>1626.8558333333333</v>
      </c>
      <c r="AA195" s="348" t="s">
        <v>214</v>
      </c>
      <c r="AB195" s="344"/>
      <c r="AC195" s="422">
        <v>34.74</v>
      </c>
      <c r="AD195" s="480">
        <v>117.52</v>
      </c>
      <c r="AF195" s="348" t="s">
        <v>373</v>
      </c>
      <c r="AG195" s="344"/>
      <c r="AH195" s="428">
        <v>40.8</v>
      </c>
      <c r="AI195" s="485">
        <v>6770.0794117647065</v>
      </c>
      <c r="AK195" s="348" t="s">
        <v>278</v>
      </c>
      <c r="AL195" s="344"/>
      <c r="AM195" s="419">
        <v>542.26</v>
      </c>
      <c r="AN195" s="524">
        <v>104.34776190056051</v>
      </c>
    </row>
    <row r="196" spans="2:40" s="301" customFormat="1" ht="12.75">
      <c r="B196" s="348" t="s">
        <v>279</v>
      </c>
      <c r="C196" s="344"/>
      <c r="D196" s="419">
        <v>369.03</v>
      </c>
      <c r="E196" s="524">
        <v>30.23076923076923</v>
      </c>
      <c r="G196" s="235" t="s">
        <v>343</v>
      </c>
      <c r="H196" s="344"/>
      <c r="I196" s="478">
        <v>1046.52</v>
      </c>
      <c r="J196" s="524">
        <v>352.71387755102035</v>
      </c>
      <c r="L196" s="348" t="s">
        <v>213</v>
      </c>
      <c r="M196" s="344"/>
      <c r="N196" s="422">
        <v>158</v>
      </c>
      <c r="O196" s="480">
        <v>28448.35642692751</v>
      </c>
      <c r="Q196" s="348" t="s">
        <v>353</v>
      </c>
      <c r="R196" s="344"/>
      <c r="S196" s="419">
        <v>632.34</v>
      </c>
      <c r="T196" s="524">
        <v>575.3418464477035</v>
      </c>
      <c r="V196" s="348" t="s">
        <v>276</v>
      </c>
      <c r="W196" s="338"/>
      <c r="X196" s="475">
        <v>110.04</v>
      </c>
      <c r="Y196" s="480">
        <v>7622.670833333334</v>
      </c>
      <c r="AA196" s="348" t="s">
        <v>222</v>
      </c>
      <c r="AB196" s="344"/>
      <c r="AC196" s="428">
        <v>34.74</v>
      </c>
      <c r="AD196" s="485">
        <v>1154.1</v>
      </c>
      <c r="AF196" s="348" t="s">
        <v>273</v>
      </c>
      <c r="AG196" s="344"/>
      <c r="AH196" s="422">
        <v>57.96</v>
      </c>
      <c r="AI196" s="480">
        <v>14030.526570048309</v>
      </c>
      <c r="AK196" s="348" t="s">
        <v>286</v>
      </c>
      <c r="AL196" s="344"/>
      <c r="AM196" s="422">
        <v>361.98</v>
      </c>
      <c r="AN196" s="480">
        <v>152.1830363596786</v>
      </c>
    </row>
    <row r="197" spans="2:40" s="301" customFormat="1" ht="12.75">
      <c r="B197" s="348" t="s">
        <v>287</v>
      </c>
      <c r="C197" s="344"/>
      <c r="D197" s="422">
        <v>322.63</v>
      </c>
      <c r="E197" s="480">
        <v>209.23076923076923</v>
      </c>
      <c r="G197" s="235" t="s">
        <v>364</v>
      </c>
      <c r="H197" s="344"/>
      <c r="I197" s="422">
        <v>151.44</v>
      </c>
      <c r="J197" s="480">
        <v>1367.288866213152</v>
      </c>
      <c r="L197" s="348" t="s">
        <v>214</v>
      </c>
      <c r="M197" s="344"/>
      <c r="N197" s="422">
        <v>158</v>
      </c>
      <c r="O197" s="480">
        <v>5993.2147008055235</v>
      </c>
      <c r="Q197" s="348" t="s">
        <v>354</v>
      </c>
      <c r="R197" s="344"/>
      <c r="S197" s="422">
        <v>220</v>
      </c>
      <c r="T197" s="480">
        <v>742.8360093164525</v>
      </c>
      <c r="V197" s="348" t="s">
        <v>284</v>
      </c>
      <c r="W197" s="338"/>
      <c r="X197" s="475">
        <v>123</v>
      </c>
      <c r="Y197" s="480">
        <v>5181.394666666667</v>
      </c>
      <c r="AA197" s="348" t="s">
        <v>225</v>
      </c>
      <c r="AB197" s="344"/>
      <c r="AC197" s="430">
        <v>21.42</v>
      </c>
      <c r="AD197" s="490">
        <v>18560.3</v>
      </c>
      <c r="AF197" s="348" t="s">
        <v>281</v>
      </c>
      <c r="AG197" s="344"/>
      <c r="AH197" s="419">
        <v>521.28</v>
      </c>
      <c r="AI197" s="524">
        <v>4766.599505064458</v>
      </c>
      <c r="AK197" s="348" t="s">
        <v>294</v>
      </c>
      <c r="AL197" s="344"/>
      <c r="AM197" s="422">
        <v>178.86</v>
      </c>
      <c r="AN197" s="480">
        <v>94.38686617242885</v>
      </c>
    </row>
    <row r="198" spans="2:40" s="301" customFormat="1" ht="12.75">
      <c r="B198" s="348" t="s">
        <v>295</v>
      </c>
      <c r="C198" s="344"/>
      <c r="D198" s="422">
        <v>16.15</v>
      </c>
      <c r="E198" s="480">
        <v>301.3076923076923</v>
      </c>
      <c r="G198" s="235" t="s">
        <v>365</v>
      </c>
      <c r="H198" s="344"/>
      <c r="I198" s="422">
        <v>36.24</v>
      </c>
      <c r="J198" s="480">
        <v>338.2083333333333</v>
      </c>
      <c r="L198" s="348" t="s">
        <v>222</v>
      </c>
      <c r="M198" s="344"/>
      <c r="N198" s="428">
        <v>33.3</v>
      </c>
      <c r="O198" s="485">
        <v>67416.6520293126</v>
      </c>
      <c r="Q198" s="348" t="s">
        <v>298</v>
      </c>
      <c r="R198" s="344"/>
      <c r="S198" s="422">
        <v>0</v>
      </c>
      <c r="T198" s="480">
        <v>0</v>
      </c>
      <c r="V198" s="348" t="s">
        <v>292</v>
      </c>
      <c r="W198" s="329"/>
      <c r="X198" s="475">
        <v>507</v>
      </c>
      <c r="Y198" s="480">
        <v>9872.848958333332</v>
      </c>
      <c r="AA198" s="348" t="s">
        <v>226</v>
      </c>
      <c r="AB198" s="344"/>
      <c r="AC198" s="430">
        <v>21.42</v>
      </c>
      <c r="AD198" s="490">
        <v>10723.8</v>
      </c>
      <c r="AF198" s="348" t="s">
        <v>289</v>
      </c>
      <c r="AG198" s="344"/>
      <c r="AH198" s="419">
        <v>1236</v>
      </c>
      <c r="AI198" s="524">
        <v>49.83063176137248</v>
      </c>
      <c r="AK198" s="348" t="s">
        <v>302</v>
      </c>
      <c r="AL198" s="344"/>
      <c r="AM198" s="422">
        <v>178.86</v>
      </c>
      <c r="AN198" s="480">
        <v>4.987651177018996</v>
      </c>
    </row>
    <row r="199" spans="2:40" s="301" customFormat="1" ht="12.75">
      <c r="B199" s="348" t="s">
        <v>303</v>
      </c>
      <c r="C199" s="344"/>
      <c r="D199" s="428">
        <v>13.46</v>
      </c>
      <c r="E199" s="485">
        <v>1143</v>
      </c>
      <c r="G199" s="235" t="s">
        <v>366</v>
      </c>
      <c r="H199" s="344"/>
      <c r="I199" s="428">
        <v>36.24</v>
      </c>
      <c r="J199" s="485">
        <v>5778.166666666667</v>
      </c>
      <c r="L199" s="348" t="s">
        <v>223</v>
      </c>
      <c r="M199" s="344"/>
      <c r="N199" s="428">
        <v>33.3</v>
      </c>
      <c r="O199" s="485">
        <v>0</v>
      </c>
      <c r="Q199" s="348" t="s">
        <v>355</v>
      </c>
      <c r="R199" s="344"/>
      <c r="S199" s="428">
        <v>14.3</v>
      </c>
      <c r="T199" s="485">
        <v>838.3597202843665</v>
      </c>
      <c r="V199" s="348" t="s">
        <v>300</v>
      </c>
      <c r="W199" s="338"/>
      <c r="X199" s="482">
        <v>936</v>
      </c>
      <c r="Y199" s="524">
        <v>152.602375</v>
      </c>
      <c r="AA199" s="348" t="s">
        <v>232</v>
      </c>
      <c r="AB199" s="344"/>
      <c r="AC199" s="436">
        <v>10.62</v>
      </c>
      <c r="AD199" s="494">
        <v>17798</v>
      </c>
      <c r="AF199" s="372" t="s">
        <v>297</v>
      </c>
      <c r="AG199" s="572"/>
      <c r="AH199" s="573">
        <v>6966.96</v>
      </c>
      <c r="AI199" s="574">
        <v>133.85650974642363</v>
      </c>
      <c r="AK199" s="348" t="s">
        <v>309</v>
      </c>
      <c r="AL199" s="344"/>
      <c r="AM199" s="422">
        <v>136.28</v>
      </c>
      <c r="AN199" s="480">
        <v>17.683101618193547</v>
      </c>
    </row>
    <row r="200" spans="2:40" s="301" customFormat="1" ht="12.75">
      <c r="B200" s="348" t="s">
        <v>310</v>
      </c>
      <c r="C200" s="344"/>
      <c r="D200" s="428">
        <v>13.46</v>
      </c>
      <c r="E200" s="485">
        <v>495</v>
      </c>
      <c r="G200" s="235" t="s">
        <v>367</v>
      </c>
      <c r="H200" s="344"/>
      <c r="I200" s="428">
        <v>36.24</v>
      </c>
      <c r="J200" s="485">
        <v>2421.6666666666665</v>
      </c>
      <c r="L200" s="348" t="s">
        <v>225</v>
      </c>
      <c r="M200" s="344"/>
      <c r="N200" s="430">
        <v>29.2</v>
      </c>
      <c r="O200" s="490">
        <v>1098910.750380679</v>
      </c>
      <c r="Q200" s="348" t="s">
        <v>356</v>
      </c>
      <c r="R200" s="344"/>
      <c r="S200" s="428">
        <v>14.3</v>
      </c>
      <c r="T200" s="485">
        <v>2612.00896494089</v>
      </c>
      <c r="V200" s="348" t="s">
        <v>359</v>
      </c>
      <c r="W200" s="338"/>
      <c r="X200" s="482">
        <v>1494</v>
      </c>
      <c r="Y200" s="524">
        <v>2039.6217916666667</v>
      </c>
      <c r="AA200" s="382"/>
      <c r="AB200" s="383"/>
      <c r="AC200" s="549"/>
      <c r="AD200" s="550"/>
      <c r="AF200" s="382"/>
      <c r="AG200" s="550"/>
      <c r="AH200" s="550"/>
      <c r="AI200" s="584"/>
      <c r="AK200" s="348" t="s">
        <v>317</v>
      </c>
      <c r="AL200" s="344"/>
      <c r="AM200" s="422">
        <v>136.28</v>
      </c>
      <c r="AN200" s="480">
        <v>148.04390462567738</v>
      </c>
    </row>
    <row r="201" spans="2:40" s="301" customFormat="1" ht="12.75">
      <c r="B201" s="348" t="s">
        <v>318</v>
      </c>
      <c r="C201" s="344"/>
      <c r="D201" s="430">
        <v>13.46</v>
      </c>
      <c r="E201" s="490">
        <v>31424</v>
      </c>
      <c r="G201" s="235" t="s">
        <v>368</v>
      </c>
      <c r="H201" s="344"/>
      <c r="I201" s="430">
        <v>21.96</v>
      </c>
      <c r="J201" s="490">
        <v>74148.00000000001</v>
      </c>
      <c r="L201" s="348" t="s">
        <v>226</v>
      </c>
      <c r="M201" s="344"/>
      <c r="N201" s="430">
        <v>29.2</v>
      </c>
      <c r="O201" s="490">
        <v>1351759.2515386336</v>
      </c>
      <c r="Q201" s="348" t="s">
        <v>357</v>
      </c>
      <c r="R201" s="344"/>
      <c r="S201" s="430">
        <v>14.3</v>
      </c>
      <c r="T201" s="490">
        <v>7479.315668650376</v>
      </c>
      <c r="V201" s="348" t="s">
        <v>314</v>
      </c>
      <c r="W201" s="338"/>
      <c r="X201" s="487">
        <v>6600</v>
      </c>
      <c r="Y201" s="529">
        <v>110.55579166666666</v>
      </c>
      <c r="AK201" s="348" t="s">
        <v>324</v>
      </c>
      <c r="AL201" s="344"/>
      <c r="AM201" s="422">
        <v>131.58</v>
      </c>
      <c r="AN201" s="480">
        <v>92.44863724202646</v>
      </c>
    </row>
    <row r="202" spans="2:40" s="301" customFormat="1" ht="12.75">
      <c r="B202" s="348" t="s">
        <v>325</v>
      </c>
      <c r="C202" s="344"/>
      <c r="D202" s="430">
        <v>13.46</v>
      </c>
      <c r="E202" s="490">
        <v>18390</v>
      </c>
      <c r="G202" s="235" t="s">
        <v>369</v>
      </c>
      <c r="H202" s="344"/>
      <c r="I202" s="430">
        <v>21.96</v>
      </c>
      <c r="J202" s="490">
        <v>117251.58333333334</v>
      </c>
      <c r="L202" s="348" t="s">
        <v>380</v>
      </c>
      <c r="M202" s="344"/>
      <c r="N202" s="436">
        <v>3.53</v>
      </c>
      <c r="O202" s="494">
        <v>1045520.4078441673</v>
      </c>
      <c r="Q202" s="348" t="s">
        <v>358</v>
      </c>
      <c r="R202" s="344"/>
      <c r="S202" s="430">
        <v>14.3</v>
      </c>
      <c r="T202" s="490">
        <v>90128.56283429553</v>
      </c>
      <c r="V202" s="348" t="s">
        <v>322</v>
      </c>
      <c r="W202" s="338"/>
      <c r="X202" s="487">
        <v>9612</v>
      </c>
      <c r="Y202" s="529">
        <v>71.040625</v>
      </c>
      <c r="AK202" s="348" t="s">
        <v>331</v>
      </c>
      <c r="AL202" s="344"/>
      <c r="AM202" s="422">
        <v>123.78</v>
      </c>
      <c r="AN202" s="480">
        <v>523.6875869596286</v>
      </c>
    </row>
    <row r="203" spans="2:40" s="301" customFormat="1" ht="12.75">
      <c r="B203" s="348" t="s">
        <v>332</v>
      </c>
      <c r="C203" s="344"/>
      <c r="D203" s="581">
        <v>4.7</v>
      </c>
      <c r="E203" s="558">
        <v>22222</v>
      </c>
      <c r="G203" s="235" t="s">
        <v>370</v>
      </c>
      <c r="H203" s="344"/>
      <c r="I203" s="436">
        <v>2.28</v>
      </c>
      <c r="J203" s="494">
        <v>84304.74999999999</v>
      </c>
      <c r="L203" s="369"/>
      <c r="M203" s="370"/>
      <c r="N203" s="371"/>
      <c r="O203" s="497"/>
      <c r="Q203" s="348" t="s">
        <v>335</v>
      </c>
      <c r="R203" s="344"/>
      <c r="S203" s="436">
        <v>6.75</v>
      </c>
      <c r="T203" s="494">
        <v>43726.64362609061</v>
      </c>
      <c r="V203" s="348" t="s">
        <v>329</v>
      </c>
      <c r="W203" s="373"/>
      <c r="X203" s="491">
        <v>8.4</v>
      </c>
      <c r="Y203" s="494">
        <v>724532</v>
      </c>
      <c r="AA203" s="329"/>
      <c r="AB203" s="329"/>
      <c r="AC203" s="544"/>
      <c r="AD203" s="404"/>
      <c r="AK203" s="348" t="s">
        <v>337</v>
      </c>
      <c r="AL203" s="344"/>
      <c r="AM203" s="428">
        <v>49.27</v>
      </c>
      <c r="AN203" s="485">
        <v>733.2883042680365</v>
      </c>
    </row>
    <row r="204" spans="2:40" s="301" customFormat="1" ht="12.75">
      <c r="B204" s="369"/>
      <c r="C204" s="370"/>
      <c r="D204" s="371"/>
      <c r="E204" s="497"/>
      <c r="G204" s="369"/>
      <c r="H204" s="370"/>
      <c r="I204" s="371"/>
      <c r="J204" s="497"/>
      <c r="L204" s="341"/>
      <c r="Q204" s="369"/>
      <c r="R204" s="370"/>
      <c r="S204" s="371"/>
      <c r="T204" s="542"/>
      <c r="V204" s="395"/>
      <c r="W204" s="383"/>
      <c r="X204" s="549"/>
      <c r="Y204" s="550"/>
      <c r="AA204" s="329"/>
      <c r="AB204" s="329"/>
      <c r="AC204" s="560"/>
      <c r="AD204" s="404"/>
      <c r="AK204" s="330" t="s">
        <v>338</v>
      </c>
      <c r="AL204" s="363"/>
      <c r="AM204" s="428">
        <v>49.27</v>
      </c>
      <c r="AN204" s="485">
        <v>826.908680538804</v>
      </c>
    </row>
    <row r="205" spans="7:40" ht="12.75">
      <c r="G205" s="341"/>
      <c r="AK205" s="330" t="s">
        <v>339</v>
      </c>
      <c r="AL205" s="363"/>
      <c r="AM205" s="428">
        <v>49.27</v>
      </c>
      <c r="AN205" s="485">
        <v>1044.2947692096943</v>
      </c>
    </row>
    <row r="206" spans="17:40" ht="12.75">
      <c r="Q206" s="392"/>
      <c r="AK206" s="330" t="s">
        <v>340</v>
      </c>
      <c r="AL206" s="363"/>
      <c r="AM206" s="428">
        <v>14.61</v>
      </c>
      <c r="AN206" s="485">
        <v>1858.2466456202458</v>
      </c>
    </row>
    <row r="207" spans="37:40" ht="12.75">
      <c r="AK207" s="330" t="s">
        <v>342</v>
      </c>
      <c r="AL207" s="363"/>
      <c r="AM207" s="430">
        <v>13.08</v>
      </c>
      <c r="AN207" s="490">
        <v>46847.392231118494</v>
      </c>
    </row>
    <row r="208" spans="37:40" ht="12.75">
      <c r="AK208" s="330" t="s">
        <v>344</v>
      </c>
      <c r="AL208" s="363"/>
      <c r="AM208" s="436">
        <v>2.48</v>
      </c>
      <c r="AN208" s="494">
        <v>23983.016129032258</v>
      </c>
    </row>
    <row r="209" spans="37:40" ht="12.75">
      <c r="AK209" s="369"/>
      <c r="AL209" s="370"/>
      <c r="AM209" s="371"/>
      <c r="AN209" s="497"/>
    </row>
    <row r="210" spans="2:40" s="301" customFormat="1" ht="12.75">
      <c r="B210" s="402" t="s">
        <v>381</v>
      </c>
      <c r="C210" s="383"/>
      <c r="D210" s="403">
        <f>SUMPRODUCT(D192:D208,E192:E208)</f>
        <v>880513.6230769232</v>
      </c>
      <c r="G210" s="402" t="s">
        <v>381</v>
      </c>
      <c r="H210" s="383"/>
      <c r="I210" s="403">
        <f>SUMPRODUCT(I192:I208,J192:J208)</f>
        <v>5350689.463034014</v>
      </c>
      <c r="L210" s="402" t="s">
        <v>381</v>
      </c>
      <c r="M210" s="383"/>
      <c r="N210" s="403">
        <f>SUMPRODUCT(N192:N208,O192:O208)</f>
        <v>89348864.68467358</v>
      </c>
      <c r="Q210" s="402" t="s">
        <v>381</v>
      </c>
      <c r="R210" s="383"/>
      <c r="S210" s="403">
        <f>SUMPRODUCT(S192:S208,T192:T208)</f>
        <v>2281315.0893388814</v>
      </c>
      <c r="V210" s="402" t="s">
        <v>381</v>
      </c>
      <c r="W210" s="383"/>
      <c r="X210" s="403">
        <f>SUMPRODUCT(X192:X208,Y192:Y208)</f>
        <v>64082862.0417</v>
      </c>
      <c r="AA210" s="402" t="s">
        <v>381</v>
      </c>
      <c r="AB210" s="383"/>
      <c r="AC210" s="403">
        <f>SUMPRODUCT(AC192:AC208,AD192:AD208)</f>
        <v>890289.0888</v>
      </c>
      <c r="AF210" s="402" t="s">
        <v>381</v>
      </c>
      <c r="AG210" s="383"/>
      <c r="AH210" s="403">
        <f>SUMPRODUCT(AH192:AH208,AI192:AI208)</f>
        <v>49274235.050000004</v>
      </c>
      <c r="AK210" s="402" t="s">
        <v>381</v>
      </c>
      <c r="AL210" s="383"/>
      <c r="AM210" s="403">
        <f>SUMPRODUCT(AM192:AM208,AN192:AN208)</f>
        <v>1451680.0872681472</v>
      </c>
      <c r="AN210" s="404"/>
    </row>
    <row r="211" spans="1:40" s="301" customFormat="1" ht="12.75">
      <c r="A211" s="318"/>
      <c r="B211" s="498"/>
      <c r="C211" s="169"/>
      <c r="D211" s="499"/>
      <c r="G211" s="498"/>
      <c r="H211" s="169"/>
      <c r="I211" s="499"/>
      <c r="L211" s="498"/>
      <c r="M211" s="169"/>
      <c r="N211" s="499"/>
      <c r="Q211" s="498"/>
      <c r="R211" s="169"/>
      <c r="S211" s="499"/>
      <c r="V211" s="498"/>
      <c r="W211" s="169"/>
      <c r="X211" s="499"/>
      <c r="AA211" s="498"/>
      <c r="AB211" s="169"/>
      <c r="AC211" s="499"/>
      <c r="AF211" s="498"/>
      <c r="AG211" s="169"/>
      <c r="AH211" s="499"/>
      <c r="AK211" s="498"/>
      <c r="AL211" s="169"/>
      <c r="AM211" s="499"/>
      <c r="AN211" s="404"/>
    </row>
    <row r="212" spans="1:42" s="301" customFormat="1" ht="12.75">
      <c r="A212" s="519"/>
      <c r="B212" s="320" t="s">
        <v>37</v>
      </c>
      <c r="C212" s="321"/>
      <c r="D212" s="320" t="s">
        <v>346</v>
      </c>
      <c r="E212" s="500" t="s">
        <v>347</v>
      </c>
      <c r="F212" s="106"/>
      <c r="G212" s="320" t="s">
        <v>37</v>
      </c>
      <c r="H212" s="321"/>
      <c r="I212" s="320" t="s">
        <v>346</v>
      </c>
      <c r="J212" s="500" t="s">
        <v>347</v>
      </c>
      <c r="L212" s="320" t="s">
        <v>37</v>
      </c>
      <c r="M212" s="321"/>
      <c r="N212" s="320" t="s">
        <v>346</v>
      </c>
      <c r="O212" s="500" t="s">
        <v>347</v>
      </c>
      <c r="P212" s="106"/>
      <c r="Q212" s="320" t="s">
        <v>37</v>
      </c>
      <c r="R212" s="321"/>
      <c r="S212" s="320" t="s">
        <v>346</v>
      </c>
      <c r="T212" s="500" t="s">
        <v>347</v>
      </c>
      <c r="U212" s="106"/>
      <c r="V212" s="320" t="s">
        <v>37</v>
      </c>
      <c r="W212" s="321"/>
      <c r="X212" s="320" t="s">
        <v>346</v>
      </c>
      <c r="Y212" s="500" t="s">
        <v>347</v>
      </c>
      <c r="Z212" s="106"/>
      <c r="AA212" s="320" t="s">
        <v>37</v>
      </c>
      <c r="AB212" s="321"/>
      <c r="AC212" s="320" t="s">
        <v>346</v>
      </c>
      <c r="AD212" s="500" t="s">
        <v>347</v>
      </c>
      <c r="AF212" s="320" t="s">
        <v>37</v>
      </c>
      <c r="AG212" s="321"/>
      <c r="AH212" s="320" t="s">
        <v>346</v>
      </c>
      <c r="AI212" s="500" t="s">
        <v>347</v>
      </c>
      <c r="AJ212" s="106"/>
      <c r="AK212" s="320" t="s">
        <v>37</v>
      </c>
      <c r="AL212" s="321"/>
      <c r="AM212" s="320" t="s">
        <v>346</v>
      </c>
      <c r="AN212" s="500" t="s">
        <v>347</v>
      </c>
      <c r="AP212" s="106"/>
    </row>
    <row r="213" spans="1:42" s="301" customFormat="1" ht="12.75">
      <c r="A213" s="519"/>
      <c r="B213" s="325"/>
      <c r="C213" s="501"/>
      <c r="D213" s="502"/>
      <c r="E213" s="502"/>
      <c r="F213" s="503"/>
      <c r="G213" s="325" t="s">
        <v>36</v>
      </c>
      <c r="H213" s="501"/>
      <c r="I213" s="517">
        <v>1.6818</v>
      </c>
      <c r="J213" s="504">
        <v>151046.3333333333</v>
      </c>
      <c r="L213" s="325" t="s">
        <v>36</v>
      </c>
      <c r="M213" s="501"/>
      <c r="N213" s="502"/>
      <c r="O213" s="502"/>
      <c r="P213" s="503"/>
      <c r="Q213" s="325" t="s">
        <v>36</v>
      </c>
      <c r="R213" s="501"/>
      <c r="S213" s="517">
        <v>5</v>
      </c>
      <c r="T213" s="504">
        <v>3238.3301322237844</v>
      </c>
      <c r="U213" s="503"/>
      <c r="V213" s="325" t="s">
        <v>36</v>
      </c>
      <c r="W213" s="501"/>
      <c r="X213" s="517">
        <v>1.5</v>
      </c>
      <c r="Y213" s="504">
        <v>653758.8023525178</v>
      </c>
      <c r="Z213" s="503"/>
      <c r="AA213" s="325" t="s">
        <v>36</v>
      </c>
      <c r="AB213" s="501"/>
      <c r="AC213" s="502">
        <v>11.46</v>
      </c>
      <c r="AD213" s="502">
        <v>5615</v>
      </c>
      <c r="AF213" s="325" t="s">
        <v>36</v>
      </c>
      <c r="AG213" s="501"/>
      <c r="AH213" s="502">
        <v>6.72</v>
      </c>
      <c r="AI213" s="504">
        <v>212423.55224626875</v>
      </c>
      <c r="AJ213" s="503"/>
      <c r="AK213" s="325" t="s">
        <v>36</v>
      </c>
      <c r="AL213" s="501"/>
      <c r="AM213" s="502">
        <v>3.68</v>
      </c>
      <c r="AN213" s="504">
        <v>2302.5</v>
      </c>
      <c r="AP213" s="503"/>
    </row>
    <row r="214" spans="1:42" s="301" customFormat="1" ht="12.75">
      <c r="A214" s="519"/>
      <c r="B214" s="505"/>
      <c r="C214" s="506"/>
      <c r="D214" s="507"/>
      <c r="E214" s="507"/>
      <c r="F214" s="503"/>
      <c r="G214" s="505"/>
      <c r="H214" s="506"/>
      <c r="I214" s="507"/>
      <c r="J214" s="507"/>
      <c r="L214" s="505"/>
      <c r="M214" s="506"/>
      <c r="N214" s="507"/>
      <c r="O214" s="507"/>
      <c r="P214" s="503"/>
      <c r="Q214" s="505"/>
      <c r="R214" s="506"/>
      <c r="S214" s="507"/>
      <c r="T214" s="507"/>
      <c r="U214" s="503"/>
      <c r="V214" s="505"/>
      <c r="W214" s="506"/>
      <c r="X214" s="507"/>
      <c r="Y214" s="507"/>
      <c r="Z214" s="503"/>
      <c r="AA214" s="505"/>
      <c r="AB214" s="506"/>
      <c r="AC214" s="507"/>
      <c r="AD214" s="507"/>
      <c r="AF214" s="505"/>
      <c r="AG214" s="506"/>
      <c r="AH214" s="507"/>
      <c r="AI214" s="507"/>
      <c r="AJ214" s="503"/>
      <c r="AK214" s="505"/>
      <c r="AL214" s="506"/>
      <c r="AM214" s="507"/>
      <c r="AN214" s="507"/>
      <c r="AP214" s="503"/>
    </row>
    <row r="215" spans="1:42" s="301" customFormat="1" ht="12.75">
      <c r="A215" s="519"/>
      <c r="B215" s="369"/>
      <c r="C215" s="370"/>
      <c r="D215" s="375"/>
      <c r="E215" s="371"/>
      <c r="F215" s="106"/>
      <c r="G215" s="369"/>
      <c r="H215" s="370"/>
      <c r="I215" s="375"/>
      <c r="J215" s="371"/>
      <c r="L215" s="369"/>
      <c r="M215" s="370"/>
      <c r="N215" s="375"/>
      <c r="O215" s="371"/>
      <c r="P215" s="106"/>
      <c r="Q215" s="369"/>
      <c r="R215" s="370"/>
      <c r="S215" s="375"/>
      <c r="T215" s="371"/>
      <c r="U215" s="106"/>
      <c r="V215" s="369"/>
      <c r="W215" s="370"/>
      <c r="X215" s="375"/>
      <c r="Y215" s="371"/>
      <c r="Z215" s="106"/>
      <c r="AA215" s="369"/>
      <c r="AB215" s="370"/>
      <c r="AC215" s="375"/>
      <c r="AD215" s="371"/>
      <c r="AF215" s="369"/>
      <c r="AG215" s="370"/>
      <c r="AH215" s="375"/>
      <c r="AI215" s="371"/>
      <c r="AJ215" s="106"/>
      <c r="AK215" s="369"/>
      <c r="AL215" s="370"/>
      <c r="AM215" s="375"/>
      <c r="AN215" s="371"/>
      <c r="AP215" s="106"/>
    </row>
    <row r="216" spans="1:40" s="301" customFormat="1" ht="12.75">
      <c r="A216" s="519"/>
      <c r="B216" s="402" t="s">
        <v>381</v>
      </c>
      <c r="C216" s="383"/>
      <c r="D216" s="403">
        <f>SUMPRODUCT(D213:D214,E213:E214)</f>
        <v>0</v>
      </c>
      <c r="G216" s="402" t="s">
        <v>381</v>
      </c>
      <c r="H216" s="383"/>
      <c r="I216" s="403">
        <f>SUMPRODUCT(I213:I214,J213:J214)</f>
        <v>254029.72339999996</v>
      </c>
      <c r="L216" s="402" t="s">
        <v>381</v>
      </c>
      <c r="M216" s="383"/>
      <c r="N216" s="403">
        <f>SUMPRODUCT(N213:N214,O213:O214)</f>
        <v>0</v>
      </c>
      <c r="Q216" s="402" t="s">
        <v>381</v>
      </c>
      <c r="R216" s="383"/>
      <c r="S216" s="403">
        <f>SUMPRODUCT(S213:S214,T213:T214)</f>
        <v>16191.650661118922</v>
      </c>
      <c r="V216" s="402" t="s">
        <v>381</v>
      </c>
      <c r="W216" s="383"/>
      <c r="X216" s="403">
        <f>SUMPRODUCT(X213:X214,Y213:Y214)</f>
        <v>980638.2035287768</v>
      </c>
      <c r="AA216" s="402" t="s">
        <v>381</v>
      </c>
      <c r="AB216" s="383"/>
      <c r="AC216" s="403">
        <f>SUMPRODUCT(AC213:AC214,AD213:AD214)</f>
        <v>64347.9</v>
      </c>
      <c r="AF216" s="402" t="s">
        <v>381</v>
      </c>
      <c r="AG216" s="383"/>
      <c r="AH216" s="403">
        <f>SUMPRODUCT(AH213:AH214,AI213:AI214)</f>
        <v>1427486.271094926</v>
      </c>
      <c r="AK216" s="402" t="s">
        <v>381</v>
      </c>
      <c r="AL216" s="383"/>
      <c r="AM216" s="403">
        <f>SUMPRODUCT(AM213:AM214,AN213:AN214)</f>
        <v>8473.2</v>
      </c>
      <c r="AN216" s="404"/>
    </row>
    <row r="217" ht="12.75">
      <c r="AK217" s="392"/>
    </row>
    <row r="218" ht="12.75">
      <c r="AK218" s="392"/>
    </row>
    <row r="219" spans="2:37" s="301" customFormat="1" ht="12.75">
      <c r="B219" s="103" t="s">
        <v>139</v>
      </c>
      <c r="G219" s="103" t="s">
        <v>58</v>
      </c>
      <c r="L219" s="103" t="s">
        <v>141</v>
      </c>
      <c r="Q219" s="103" t="s">
        <v>388</v>
      </c>
      <c r="V219" s="103" t="s">
        <v>142</v>
      </c>
      <c r="AA219" s="103" t="s">
        <v>143</v>
      </c>
      <c r="AF219" s="103" t="s">
        <v>140</v>
      </c>
      <c r="AK219" s="103" t="s">
        <v>59</v>
      </c>
    </row>
    <row r="220" spans="2:40" s="301" customFormat="1" ht="12.75">
      <c r="B220" s="382"/>
      <c r="C220" s="383"/>
      <c r="D220" s="104" t="s">
        <v>346</v>
      </c>
      <c r="E220" s="105" t="s">
        <v>347</v>
      </c>
      <c r="G220" s="382"/>
      <c r="H220" s="383"/>
      <c r="I220" s="104" t="s">
        <v>346</v>
      </c>
      <c r="J220" s="105" t="s">
        <v>347</v>
      </c>
      <c r="L220" s="382"/>
      <c r="M220" s="383"/>
      <c r="N220" s="104" t="s">
        <v>346</v>
      </c>
      <c r="O220" s="105" t="s">
        <v>347</v>
      </c>
      <c r="Q220" s="382"/>
      <c r="R220" s="383"/>
      <c r="S220" s="104" t="s">
        <v>346</v>
      </c>
      <c r="T220" s="105" t="s">
        <v>347</v>
      </c>
      <c r="V220" s="382"/>
      <c r="W220" s="383"/>
      <c r="X220" s="104" t="s">
        <v>346</v>
      </c>
      <c r="Y220" s="105" t="s">
        <v>347</v>
      </c>
      <c r="AA220" s="382"/>
      <c r="AB220" s="383"/>
      <c r="AC220" s="104" t="s">
        <v>346</v>
      </c>
      <c r="AD220" s="105" t="s">
        <v>347</v>
      </c>
      <c r="AF220" s="382"/>
      <c r="AG220" s="383"/>
      <c r="AH220" s="104" t="s">
        <v>346</v>
      </c>
      <c r="AI220" s="105" t="s">
        <v>347</v>
      </c>
      <c r="AK220" s="382"/>
      <c r="AL220" s="383"/>
      <c r="AM220" s="104" t="s">
        <v>346</v>
      </c>
      <c r="AN220" s="105" t="s">
        <v>347</v>
      </c>
    </row>
    <row r="221" spans="2:40" s="301" customFormat="1" ht="12.75">
      <c r="B221" s="405" t="s">
        <v>348</v>
      </c>
      <c r="C221" s="169"/>
      <c r="D221" s="327">
        <f>D203</f>
        <v>4.7</v>
      </c>
      <c r="E221" s="406">
        <f>E203</f>
        <v>22222</v>
      </c>
      <c r="G221" s="405" t="s">
        <v>348</v>
      </c>
      <c r="H221" s="169"/>
      <c r="I221" s="327">
        <f>I203</f>
        <v>2.28</v>
      </c>
      <c r="J221" s="406">
        <f>J203</f>
        <v>84304.74999999999</v>
      </c>
      <c r="L221" s="405" t="s">
        <v>348</v>
      </c>
      <c r="M221" s="169"/>
      <c r="N221" s="327">
        <f>N202</f>
        <v>3.53</v>
      </c>
      <c r="O221" s="406">
        <f>O202</f>
        <v>1045520.4078441673</v>
      </c>
      <c r="Q221" s="405" t="s">
        <v>348</v>
      </c>
      <c r="R221" s="169"/>
      <c r="S221" s="327">
        <f>S203</f>
        <v>6.75</v>
      </c>
      <c r="T221" s="406">
        <f>T203</f>
        <v>43726.64362609061</v>
      </c>
      <c r="V221" s="405" t="s">
        <v>348</v>
      </c>
      <c r="W221" s="169"/>
      <c r="X221" s="327">
        <f>X203</f>
        <v>8.4</v>
      </c>
      <c r="Y221" s="406">
        <f>Y203</f>
        <v>724532</v>
      </c>
      <c r="AA221" s="405" t="s">
        <v>348</v>
      </c>
      <c r="AB221" s="169"/>
      <c r="AC221" s="327">
        <f>AC199</f>
        <v>10.62</v>
      </c>
      <c r="AD221" s="406">
        <f>AD199</f>
        <v>17798</v>
      </c>
      <c r="AF221" s="405" t="s">
        <v>348</v>
      </c>
      <c r="AG221" s="169"/>
      <c r="AH221" s="327">
        <f>AH192</f>
        <v>7.68</v>
      </c>
      <c r="AI221" s="406">
        <f>AI192</f>
        <v>567848.6927083334</v>
      </c>
      <c r="AK221" s="405" t="s">
        <v>348</v>
      </c>
      <c r="AL221" s="169"/>
      <c r="AM221" s="327">
        <f>AM208</f>
        <v>2.48</v>
      </c>
      <c r="AN221" s="406">
        <f>AN208</f>
        <v>23983.016129032258</v>
      </c>
    </row>
    <row r="222" spans="2:40" s="301" customFormat="1" ht="12.75">
      <c r="B222" s="405" t="s">
        <v>349</v>
      </c>
      <c r="C222" s="169"/>
      <c r="D222" s="342">
        <f>SUMPRODUCT(D201:D202,E201:E202)/SUM(E201:E202)</f>
        <v>13.46</v>
      </c>
      <c r="E222" s="407">
        <f>SUM(E201:E202)</f>
        <v>49814</v>
      </c>
      <c r="G222" s="405" t="s">
        <v>349</v>
      </c>
      <c r="H222" s="169"/>
      <c r="I222" s="342">
        <f>SUMPRODUCT(I201:I202,J201:J202)/SUM(J201:J202)</f>
        <v>21.959999999999997</v>
      </c>
      <c r="J222" s="407">
        <f>SUM(J201:J202)</f>
        <v>191399.58333333337</v>
      </c>
      <c r="L222" s="405" t="s">
        <v>349</v>
      </c>
      <c r="M222" s="169"/>
      <c r="N222" s="342">
        <f>SUMPRODUCT(N200:N201,O200:O201)/SUM(O200:O201)</f>
        <v>29.2</v>
      </c>
      <c r="O222" s="407">
        <f>SUM(O200:O201)</f>
        <v>2450670.0019193124</v>
      </c>
      <c r="Q222" s="405" t="s">
        <v>349</v>
      </c>
      <c r="R222" s="169"/>
      <c r="S222" s="342">
        <f>SUMPRODUCT(S201:S202,T201:T202)/SUM(T201:T202)</f>
        <v>14.3</v>
      </c>
      <c r="T222" s="407">
        <f>SUM(T201:T202)</f>
        <v>97607.87850294591</v>
      </c>
      <c r="V222" s="405" t="s">
        <v>349</v>
      </c>
      <c r="W222" s="169"/>
      <c r="X222" s="342">
        <f>X192</f>
        <v>16.32</v>
      </c>
      <c r="Y222" s="407">
        <f>Y192</f>
        <v>2676633</v>
      </c>
      <c r="AA222" s="405" t="s">
        <v>349</v>
      </c>
      <c r="AB222" s="169"/>
      <c r="AC222" s="342">
        <f>SUMPRODUCT(AC197:AC198,AD197:AD198)/SUM(AD197:AD198)</f>
        <v>21.42</v>
      </c>
      <c r="AD222" s="407">
        <f>SUM(AD197:AD198)</f>
        <v>29284.1</v>
      </c>
      <c r="AF222" s="405" t="s">
        <v>349</v>
      </c>
      <c r="AG222" s="169"/>
      <c r="AH222" s="342">
        <f>AH193</f>
        <v>20.04</v>
      </c>
      <c r="AI222" s="407">
        <f>AI193</f>
        <v>1857065.6212574851</v>
      </c>
      <c r="AK222" s="405" t="s">
        <v>349</v>
      </c>
      <c r="AL222" s="169"/>
      <c r="AM222" s="342">
        <f>AM207</f>
        <v>13.08</v>
      </c>
      <c r="AN222" s="407">
        <f>AN207</f>
        <v>46847.392231118494</v>
      </c>
    </row>
    <row r="223" spans="2:40" s="301" customFormat="1" ht="12.75">
      <c r="B223" s="405" t="s">
        <v>350</v>
      </c>
      <c r="C223" s="169"/>
      <c r="D223" s="352">
        <f>SUMPRODUCT(D199:D200,E199:E200)/SUM(E199:E200)</f>
        <v>13.460000000000003</v>
      </c>
      <c r="E223" s="408">
        <f>SUM(E199:E200)</f>
        <v>1638</v>
      </c>
      <c r="G223" s="405" t="s">
        <v>350</v>
      </c>
      <c r="H223" s="169"/>
      <c r="I223" s="352">
        <f>SUMPRODUCT(I199:I200,J199:J200)/SUM(J199:J200)</f>
        <v>36.24</v>
      </c>
      <c r="J223" s="408">
        <f>SUM(J199:J200)</f>
        <v>8199.833333333334</v>
      </c>
      <c r="L223" s="405" t="s">
        <v>350</v>
      </c>
      <c r="M223" s="169"/>
      <c r="N223" s="352">
        <f>SUMPRODUCT(N198:N199,O198:O199)/SUM(O198:O199)</f>
        <v>33.3</v>
      </c>
      <c r="O223" s="408">
        <f>SUM(O198:O199)</f>
        <v>67416.6520293126</v>
      </c>
      <c r="Q223" s="405" t="s">
        <v>350</v>
      </c>
      <c r="R223" s="169"/>
      <c r="S223" s="352">
        <f>SUMPRODUCT(S199:S200,T199:T200)/SUM(T199:T200)</f>
        <v>14.299999999999999</v>
      </c>
      <c r="T223" s="408">
        <f>SUM(T199:T200)</f>
        <v>3450.3686852252567</v>
      </c>
      <c r="V223" s="405" t="s">
        <v>350</v>
      </c>
      <c r="W223" s="169"/>
      <c r="X223" s="352">
        <f>SUMPRODUCT(X193:X194,Y193:Y194)/SUM(Y193:Y194)</f>
        <v>26.956852064802405</v>
      </c>
      <c r="Y223" s="408">
        <f>SUM(Y193:Y194)</f>
        <v>117972.77845833334</v>
      </c>
      <c r="AA223" s="405" t="s">
        <v>350</v>
      </c>
      <c r="AB223" s="169"/>
      <c r="AC223" s="352">
        <f>AC196</f>
        <v>34.74</v>
      </c>
      <c r="AD223" s="408">
        <f>AD196</f>
        <v>1154.1</v>
      </c>
      <c r="AF223" s="405" t="s">
        <v>350</v>
      </c>
      <c r="AG223" s="169"/>
      <c r="AH223" s="352">
        <f>SUMPRODUCT(AH194:AH195,AI194:AI195)/SUM(AI194:AI195)</f>
        <v>40.800000000000004</v>
      </c>
      <c r="AI223" s="408">
        <f>SUM(AI194:AI195)</f>
        <v>83467.06176470588</v>
      </c>
      <c r="AK223" s="405" t="s">
        <v>350</v>
      </c>
      <c r="AL223" s="169"/>
      <c r="AM223" s="352">
        <f>SUMPRODUCT(AM203:AM206,AN203:AN206)/SUM(AN203:AN206)</f>
        <v>34.83786820790577</v>
      </c>
      <c r="AN223" s="408">
        <f>SUM(AN203:AN206)</f>
        <v>4462.738399636781</v>
      </c>
    </row>
    <row r="224" spans="2:40" s="301" customFormat="1" ht="12.75">
      <c r="B224" s="405" t="s">
        <v>341</v>
      </c>
      <c r="C224" s="169"/>
      <c r="D224" s="361">
        <f>SUMPRODUCT(D197:D198,E197:E198)/SUM(E197:E198)</f>
        <v>141.7527723368992</v>
      </c>
      <c r="E224" s="409">
        <f>SUM(E197:E198)</f>
        <v>510.53846153846155</v>
      </c>
      <c r="G224" s="405" t="s">
        <v>341</v>
      </c>
      <c r="H224" s="169"/>
      <c r="I224" s="361">
        <f>SUMPRODUCT(I197:I198,J197:J198)/SUM(J197:J198)</f>
        <v>128.59528350890264</v>
      </c>
      <c r="J224" s="409">
        <f>SUM(J197:J198)</f>
        <v>1705.4971995464853</v>
      </c>
      <c r="L224" s="405" t="s">
        <v>341</v>
      </c>
      <c r="M224" s="169"/>
      <c r="N224" s="361">
        <f>SUMPRODUCT(N196:N197,O196:O197)/SUM(O196:O197)</f>
        <v>158</v>
      </c>
      <c r="O224" s="409">
        <f>SUM(O196:O197)</f>
        <v>34441.571127733034</v>
      </c>
      <c r="Q224" s="405" t="s">
        <v>341</v>
      </c>
      <c r="R224" s="169"/>
      <c r="S224" s="361">
        <f>SUMPRODUCT(S197:S198,T197:T198)/SUM(T197:T198)</f>
        <v>220</v>
      </c>
      <c r="T224" s="409">
        <f>SUM(T197:T198)</f>
        <v>742.8360093164525</v>
      </c>
      <c r="V224" s="405" t="s">
        <v>341</v>
      </c>
      <c r="W224" s="169"/>
      <c r="X224" s="361">
        <f>SUMPRODUCT(X195:X198,Y195:Y198)/SUM(Y195:Y198)</f>
        <v>268.7412847674301</v>
      </c>
      <c r="Y224" s="409">
        <f>SUM(Y195:Y198)</f>
        <v>24303.770291666668</v>
      </c>
      <c r="AA224" s="405" t="s">
        <v>341</v>
      </c>
      <c r="AB224" s="169"/>
      <c r="AC224" s="361">
        <f>SUMPRODUCT(AC194:AC195,AD194:AD195)/SUM(AD194:AD195)</f>
        <v>95.98873546151944</v>
      </c>
      <c r="AD224" s="409">
        <f>SUM(AD194:AD195)</f>
        <v>242.45999999999998</v>
      </c>
      <c r="AF224" s="405" t="s">
        <v>341</v>
      </c>
      <c r="AG224" s="169"/>
      <c r="AH224" s="361">
        <f>AH196</f>
        <v>57.96</v>
      </c>
      <c r="AI224" s="409">
        <f>AI196</f>
        <v>14030.526570048309</v>
      </c>
      <c r="AK224" s="405" t="s">
        <v>341</v>
      </c>
      <c r="AL224" s="169"/>
      <c r="AM224" s="361">
        <f>SUMPRODUCT(AM196:AM202,AN196:AN202)/SUM(AN196:AN202)</f>
        <v>166.85658149282716</v>
      </c>
      <c r="AN224" s="409">
        <f>SUM(AN196:AN202)</f>
        <v>1033.4207841546524</v>
      </c>
    </row>
    <row r="225" spans="2:40" s="301" customFormat="1" ht="12.75">
      <c r="B225" s="405" t="s">
        <v>343</v>
      </c>
      <c r="C225" s="169"/>
      <c r="D225" s="380">
        <f>D196</f>
        <v>369.03</v>
      </c>
      <c r="E225" s="410">
        <f>E196</f>
        <v>30.23076923076923</v>
      </c>
      <c r="G225" s="405" t="s">
        <v>343</v>
      </c>
      <c r="H225" s="169"/>
      <c r="I225" s="380">
        <f>I196</f>
        <v>1046.52</v>
      </c>
      <c r="J225" s="410">
        <f>J196</f>
        <v>352.71387755102035</v>
      </c>
      <c r="L225" s="405" t="s">
        <v>343</v>
      </c>
      <c r="M225" s="169"/>
      <c r="N225" s="380">
        <f>SUMPRODUCT(N194:N195,O194:O195)/SUM(O194:O195)</f>
        <v>656.5935143768172</v>
      </c>
      <c r="O225" s="410">
        <f>SUM(O194:O195)</f>
        <v>9299.278832802896</v>
      </c>
      <c r="Q225" s="405" t="s">
        <v>343</v>
      </c>
      <c r="R225" s="169"/>
      <c r="S225" s="380">
        <f>S196</f>
        <v>632.34</v>
      </c>
      <c r="T225" s="410">
        <f>T196</f>
        <v>575.3418464477035</v>
      </c>
      <c r="V225" s="405" t="s">
        <v>343</v>
      </c>
      <c r="W225" s="169"/>
      <c r="X225" s="380">
        <f>SUMPRODUCT(X199:X200,Y199:Y200)/SUM(Y199:Y200)</f>
        <v>1455.1571998225545</v>
      </c>
      <c r="Y225" s="410">
        <f>SUM(Y199:Y200)</f>
        <v>2192.224166666667</v>
      </c>
      <c r="AA225" s="405" t="s">
        <v>343</v>
      </c>
      <c r="AB225" s="169"/>
      <c r="AC225" s="380">
        <f>SUMPRODUCT(AC192:AC193,AD192:AD193)/SUM(AD192:AD193)</f>
        <v>493.1438368860056</v>
      </c>
      <c r="AD225" s="410">
        <f>SUM(AD192:AD193)</f>
        <v>21.58</v>
      </c>
      <c r="AF225" s="405" t="s">
        <v>343</v>
      </c>
      <c r="AG225" s="169"/>
      <c r="AH225" s="380">
        <f>SUMPRODUCT(AH197:AH198,AI197:AI198)/SUM(AI197:AI198)</f>
        <v>528.6744702031864</v>
      </c>
      <c r="AI225" s="410">
        <f>SUM(AI197:AI198)</f>
        <v>4816.43013682583</v>
      </c>
      <c r="AK225" s="405" t="s">
        <v>343</v>
      </c>
      <c r="AL225" s="169"/>
      <c r="AM225" s="380">
        <f>SUMPRODUCT(AM193:AM195,AN193:AN195)/SUM(AN193:AN195)</f>
        <v>1207.450480087391</v>
      </c>
      <c r="AN225" s="410">
        <f>SUM(AN193:AN195)</f>
        <v>282.49229094449873</v>
      </c>
    </row>
    <row r="226" spans="2:40" s="301" customFormat="1" ht="12.75">
      <c r="B226" s="571" t="s">
        <v>345</v>
      </c>
      <c r="C226" s="373"/>
      <c r="D226" s="513"/>
      <c r="E226" s="514"/>
      <c r="G226" s="571" t="s">
        <v>345</v>
      </c>
      <c r="H226" s="373"/>
      <c r="I226" s="513">
        <f>SUMPRODUCT(I192:I195,J192:J195)/SUM(J192:J195)</f>
        <v>6973.68</v>
      </c>
      <c r="J226" s="514">
        <f>SUM(J192:J195)</f>
        <v>10</v>
      </c>
      <c r="L226" s="571" t="s">
        <v>345</v>
      </c>
      <c r="M226" s="373"/>
      <c r="N226" s="513">
        <f>SUMPRODUCT(N192:N193,O192:O193)/SUM(O192:O193)</f>
        <v>1977.0000000000002</v>
      </c>
      <c r="O226" s="514">
        <f>SUM(O192:O193)</f>
        <v>154.79244723410102</v>
      </c>
      <c r="Q226" s="571" t="s">
        <v>345</v>
      </c>
      <c r="R226" s="373"/>
      <c r="S226" s="513">
        <f>SUMPRODUCT(S193:S195,T193:T195)/SUM(T193:T195)</f>
        <v>2692.36117763994</v>
      </c>
      <c r="T226" s="514">
        <f>SUM(T193:T195)</f>
        <v>5.1225388904363</v>
      </c>
      <c r="V226" s="571" t="s">
        <v>345</v>
      </c>
      <c r="W226" s="373"/>
      <c r="X226" s="513">
        <f>SUMPRODUCT(X201:X202,Y201:Y202)/SUM(Y201:Y202)</f>
        <v>7778.296171409402</v>
      </c>
      <c r="Y226" s="514">
        <f>SUM(Y201:Y202)</f>
        <v>181.59641666666667</v>
      </c>
      <c r="AA226" s="571" t="s">
        <v>345</v>
      </c>
      <c r="AB226" s="373"/>
      <c r="AC226" s="513"/>
      <c r="AD226" s="514"/>
      <c r="AF226" s="571" t="s">
        <v>345</v>
      </c>
      <c r="AG226" s="373"/>
      <c r="AH226" s="513">
        <f>AH199</f>
        <v>6966.96</v>
      </c>
      <c r="AI226" s="514">
        <f>AI199</f>
        <v>133.85650974642363</v>
      </c>
      <c r="AK226" s="571" t="s">
        <v>345</v>
      </c>
      <c r="AL226" s="373"/>
      <c r="AM226" s="513">
        <f>AM192</f>
        <v>4968.37</v>
      </c>
      <c r="AN226" s="514">
        <f>AN192</f>
        <v>22.228117684996672</v>
      </c>
    </row>
    <row r="227" spans="2:40" s="318" customFormat="1" ht="12.75">
      <c r="B227" s="411" t="s">
        <v>381</v>
      </c>
      <c r="C227" s="412"/>
      <c r="D227" s="585">
        <f>SUMPRODUCT(D221:D226,E221:E226)</f>
        <v>880513.6230769232</v>
      </c>
      <c r="E227" s="578"/>
      <c r="G227" s="411" t="s">
        <v>381</v>
      </c>
      <c r="H227" s="412"/>
      <c r="I227" s="585">
        <f>SUMPRODUCT(I221:I226,J221:J226)</f>
        <v>5350689.463034014</v>
      </c>
      <c r="J227" s="578"/>
      <c r="L227" s="411" t="s">
        <v>381</v>
      </c>
      <c r="M227" s="412"/>
      <c r="N227" s="403">
        <f>SUMPRODUCT(N221:N226,O221:O226)</f>
        <v>89348864.68467358</v>
      </c>
      <c r="O227" s="578"/>
      <c r="Q227" s="411" t="s">
        <v>381</v>
      </c>
      <c r="R227" s="412"/>
      <c r="S227" s="403">
        <f>SUMPRODUCT(S221:S226,T221:T226)</f>
        <v>2281315.089338881</v>
      </c>
      <c r="T227" s="578"/>
      <c r="V227" s="411" t="s">
        <v>381</v>
      </c>
      <c r="W227" s="412"/>
      <c r="X227" s="403">
        <f>SUMPRODUCT(X221:X226,Y221:Y226)</f>
        <v>64082862.04169999</v>
      </c>
      <c r="Y227" s="578"/>
      <c r="AA227" s="411" t="s">
        <v>381</v>
      </c>
      <c r="AB227" s="412"/>
      <c r="AC227" s="403">
        <f>SUMPRODUCT(AC221:AC226,AD221:AD226)</f>
        <v>890289.0888</v>
      </c>
      <c r="AD227" s="578"/>
      <c r="AF227" s="411" t="s">
        <v>381</v>
      </c>
      <c r="AG227" s="412"/>
      <c r="AH227" s="585">
        <f>SUMPRODUCT(AH221:AH226,AI221:AI226)</f>
        <v>49274235.04999999</v>
      </c>
      <c r="AI227" s="578"/>
      <c r="AK227" s="411" t="s">
        <v>381</v>
      </c>
      <c r="AL227" s="412"/>
      <c r="AM227" s="403">
        <f>SUMPRODUCT(AM221:AM226,AN221:AN226)</f>
        <v>1451680.0872681476</v>
      </c>
      <c r="AN227" s="578"/>
    </row>
    <row r="228" spans="1:40" s="301" customFormat="1" ht="12.75">
      <c r="A228" s="318"/>
      <c r="B228" s="498"/>
      <c r="C228" s="169"/>
      <c r="D228" s="499"/>
      <c r="G228" s="498"/>
      <c r="H228" s="169"/>
      <c r="I228" s="499"/>
      <c r="L228" s="498"/>
      <c r="M228" s="169"/>
      <c r="N228" s="499"/>
      <c r="Q228" s="498"/>
      <c r="R228" s="169"/>
      <c r="S228" s="499"/>
      <c r="V228" s="498"/>
      <c r="W228" s="169"/>
      <c r="X228" s="499"/>
      <c r="AA228" s="498"/>
      <c r="AB228" s="169"/>
      <c r="AC228" s="499"/>
      <c r="AF228" s="498"/>
      <c r="AG228" s="169"/>
      <c r="AH228" s="499"/>
      <c r="AK228" s="498"/>
      <c r="AL228" s="169"/>
      <c r="AM228" s="499"/>
      <c r="AN228" s="404"/>
    </row>
    <row r="229" spans="1:42" s="301" customFormat="1" ht="12.75">
      <c r="A229" s="189"/>
      <c r="B229" s="320" t="s">
        <v>37</v>
      </c>
      <c r="C229" s="321"/>
      <c r="D229" s="320" t="s">
        <v>346</v>
      </c>
      <c r="E229" s="500" t="s">
        <v>347</v>
      </c>
      <c r="F229" s="106"/>
      <c r="G229" s="320" t="s">
        <v>37</v>
      </c>
      <c r="H229" s="321"/>
      <c r="I229" s="320" t="s">
        <v>346</v>
      </c>
      <c r="J229" s="500" t="s">
        <v>347</v>
      </c>
      <c r="L229" s="320" t="s">
        <v>37</v>
      </c>
      <c r="M229" s="321"/>
      <c r="N229" s="320" t="s">
        <v>346</v>
      </c>
      <c r="O229" s="500" t="s">
        <v>347</v>
      </c>
      <c r="P229" s="106"/>
      <c r="Q229" s="320" t="s">
        <v>37</v>
      </c>
      <c r="R229" s="321"/>
      <c r="S229" s="320" t="s">
        <v>346</v>
      </c>
      <c r="T229" s="500" t="s">
        <v>347</v>
      </c>
      <c r="U229" s="106"/>
      <c r="V229" s="320" t="s">
        <v>37</v>
      </c>
      <c r="W229" s="321"/>
      <c r="X229" s="320" t="s">
        <v>346</v>
      </c>
      <c r="Y229" s="500" t="s">
        <v>347</v>
      </c>
      <c r="Z229" s="106"/>
      <c r="AA229" s="320" t="s">
        <v>37</v>
      </c>
      <c r="AB229" s="321"/>
      <c r="AC229" s="320" t="s">
        <v>346</v>
      </c>
      <c r="AD229" s="500" t="s">
        <v>347</v>
      </c>
      <c r="AF229" s="320" t="s">
        <v>37</v>
      </c>
      <c r="AG229" s="321"/>
      <c r="AH229" s="320" t="s">
        <v>346</v>
      </c>
      <c r="AI229" s="500" t="s">
        <v>347</v>
      </c>
      <c r="AJ229" s="106"/>
      <c r="AK229" s="320" t="s">
        <v>37</v>
      </c>
      <c r="AL229" s="321"/>
      <c r="AM229" s="320" t="s">
        <v>346</v>
      </c>
      <c r="AN229" s="500" t="s">
        <v>347</v>
      </c>
      <c r="AP229" s="106"/>
    </row>
    <row r="230" spans="1:42" s="301" customFormat="1" ht="12.75">
      <c r="A230" s="189"/>
      <c r="B230" s="325" t="s">
        <v>36</v>
      </c>
      <c r="C230" s="501"/>
      <c r="D230" s="502"/>
      <c r="E230" s="502"/>
      <c r="F230" s="503"/>
      <c r="G230" s="325" t="s">
        <v>36</v>
      </c>
      <c r="H230" s="501"/>
      <c r="I230" s="502">
        <f>SUMPRODUCT(I213:I214,J213:J214)/SUM(J213:J214)</f>
        <v>1.6818</v>
      </c>
      <c r="J230" s="502">
        <f>SUM(J213:J214)</f>
        <v>151046.3333333333</v>
      </c>
      <c r="L230" s="325" t="s">
        <v>36</v>
      </c>
      <c r="M230" s="501"/>
      <c r="N230" s="517"/>
      <c r="O230" s="504"/>
      <c r="P230" s="503"/>
      <c r="Q230" s="325" t="s">
        <v>36</v>
      </c>
      <c r="R230" s="501"/>
      <c r="S230" s="517">
        <f>SUMPRODUCT(S213:S214,T213:T214)/SUM(T213:T214)</f>
        <v>5</v>
      </c>
      <c r="T230" s="504">
        <f>SUM(T213:T214)</f>
        <v>3238.3301322237844</v>
      </c>
      <c r="U230" s="503"/>
      <c r="V230" s="325" t="s">
        <v>36</v>
      </c>
      <c r="W230" s="501"/>
      <c r="X230" s="517">
        <f>SUMPRODUCT(X213:X214,Y213:Y214)/SUM(Y213:Y214)</f>
        <v>1.5</v>
      </c>
      <c r="Y230" s="504">
        <f>SUM(Y213:Y214)</f>
        <v>653758.8023525178</v>
      </c>
      <c r="Z230" s="503"/>
      <c r="AA230" s="325" t="s">
        <v>36</v>
      </c>
      <c r="AB230" s="501"/>
      <c r="AC230" s="517">
        <f>SUMPRODUCT(AC213:AC214,AD213:AD214)/SUM(AD213:AD214)</f>
        <v>11.46</v>
      </c>
      <c r="AD230" s="504">
        <f>SUM(AD213:AD214)</f>
        <v>5615</v>
      </c>
      <c r="AF230" s="325" t="s">
        <v>36</v>
      </c>
      <c r="AG230" s="501"/>
      <c r="AH230" s="502">
        <f>SUMPRODUCT(AH213:AH214,AI213:AI214)/SUM(AI213:AI214)</f>
        <v>6.72</v>
      </c>
      <c r="AI230" s="504">
        <f>SUM(AI213:AI214)</f>
        <v>212423.55224626875</v>
      </c>
      <c r="AJ230" s="503"/>
      <c r="AK230" s="325" t="s">
        <v>36</v>
      </c>
      <c r="AL230" s="501"/>
      <c r="AM230" s="517">
        <f>SUMPRODUCT(AM213:AM214,AN213:AN214)/SUM(AN213:AN214)</f>
        <v>3.68</v>
      </c>
      <c r="AN230" s="504">
        <f>SUM(AN213:AN214)</f>
        <v>2302.5</v>
      </c>
      <c r="AP230" s="503"/>
    </row>
    <row r="231" spans="1:42" s="301" customFormat="1" ht="12.75">
      <c r="A231" s="189"/>
      <c r="B231" s="369"/>
      <c r="C231" s="370"/>
      <c r="D231" s="375"/>
      <c r="E231" s="371"/>
      <c r="F231" s="106"/>
      <c r="G231" s="369"/>
      <c r="H231" s="370"/>
      <c r="I231" s="375"/>
      <c r="J231" s="371"/>
      <c r="L231" s="369"/>
      <c r="M231" s="370"/>
      <c r="N231" s="375"/>
      <c r="O231" s="371"/>
      <c r="P231" s="106"/>
      <c r="Q231" s="369"/>
      <c r="R231" s="370"/>
      <c r="S231" s="375"/>
      <c r="T231" s="371"/>
      <c r="U231" s="106"/>
      <c r="V231" s="369"/>
      <c r="W231" s="370"/>
      <c r="X231" s="375"/>
      <c r="Y231" s="371"/>
      <c r="Z231" s="106"/>
      <c r="AA231" s="369"/>
      <c r="AB231" s="370"/>
      <c r="AC231" s="375"/>
      <c r="AD231" s="371"/>
      <c r="AF231" s="369"/>
      <c r="AG231" s="370"/>
      <c r="AH231" s="375"/>
      <c r="AI231" s="371"/>
      <c r="AJ231" s="106"/>
      <c r="AK231" s="369"/>
      <c r="AL231" s="370"/>
      <c r="AM231" s="375"/>
      <c r="AN231" s="371"/>
      <c r="AP231" s="106"/>
    </row>
    <row r="232" spans="1:40" s="301" customFormat="1" ht="12.75">
      <c r="A232" s="189"/>
      <c r="B232" s="402" t="s">
        <v>381</v>
      </c>
      <c r="C232" s="383"/>
      <c r="D232" s="403">
        <f>D230*E230</f>
        <v>0</v>
      </c>
      <c r="G232" s="402" t="s">
        <v>381</v>
      </c>
      <c r="H232" s="383"/>
      <c r="I232" s="403">
        <f>I230*J230</f>
        <v>254029.72339999996</v>
      </c>
      <c r="L232" s="402" t="s">
        <v>381</v>
      </c>
      <c r="M232" s="383"/>
      <c r="N232" s="403">
        <f>N230*O230</f>
        <v>0</v>
      </c>
      <c r="Q232" s="402" t="s">
        <v>381</v>
      </c>
      <c r="R232" s="383"/>
      <c r="S232" s="403">
        <f>S230*T230</f>
        <v>16191.650661118922</v>
      </c>
      <c r="V232" s="402" t="s">
        <v>381</v>
      </c>
      <c r="W232" s="383"/>
      <c r="X232" s="403">
        <f>X230*Y230</f>
        <v>980638.2035287768</v>
      </c>
      <c r="AA232" s="402" t="s">
        <v>381</v>
      </c>
      <c r="AB232" s="383"/>
      <c r="AC232" s="403">
        <f>AC230*AD230</f>
        <v>64347.9</v>
      </c>
      <c r="AF232" s="402" t="s">
        <v>381</v>
      </c>
      <c r="AG232" s="383"/>
      <c r="AH232" s="403">
        <f>AH230*AI230</f>
        <v>1427486.271094926</v>
      </c>
      <c r="AK232" s="402" t="s">
        <v>381</v>
      </c>
      <c r="AL232" s="383"/>
      <c r="AM232" s="403">
        <f>AM230*AN230</f>
        <v>8473.2</v>
      </c>
      <c r="AN232" s="404"/>
    </row>
    <row r="233" spans="1:40" s="301" customFormat="1" ht="12.75">
      <c r="A233" s="318"/>
      <c r="B233" s="498"/>
      <c r="C233" s="169"/>
      <c r="D233" s="499"/>
      <c r="G233" s="498"/>
      <c r="H233" s="169"/>
      <c r="I233" s="499"/>
      <c r="L233" s="498"/>
      <c r="M233" s="169"/>
      <c r="N233" s="499"/>
      <c r="Q233" s="498"/>
      <c r="R233" s="169"/>
      <c r="S233" s="499"/>
      <c r="V233" s="498"/>
      <c r="W233" s="169"/>
      <c r="X233" s="499"/>
      <c r="AA233" s="498"/>
      <c r="AB233" s="169"/>
      <c r="AC233" s="499"/>
      <c r="AF233" s="498"/>
      <c r="AG233" s="169"/>
      <c r="AH233" s="499"/>
      <c r="AK233" s="498"/>
      <c r="AL233" s="169"/>
      <c r="AM233" s="499"/>
      <c r="AN233" s="404"/>
    </row>
    <row r="234" spans="2:50" s="318" customFormat="1" ht="12.75">
      <c r="B234" s="193"/>
      <c r="C234" s="193"/>
      <c r="D234" s="561"/>
      <c r="E234" s="562"/>
      <c r="G234" s="193"/>
      <c r="H234" s="193"/>
      <c r="I234" s="561"/>
      <c r="J234" s="562"/>
      <c r="L234" s="193"/>
      <c r="M234" s="193"/>
      <c r="N234" s="561"/>
      <c r="O234" s="562"/>
      <c r="Q234" s="193"/>
      <c r="R234" s="193"/>
      <c r="S234" s="561"/>
      <c r="T234" s="562"/>
      <c r="V234" s="193"/>
      <c r="W234" s="193"/>
      <c r="X234" s="561"/>
      <c r="Y234" s="562"/>
      <c r="AA234" s="193"/>
      <c r="AB234" s="193"/>
      <c r="AC234" s="561"/>
      <c r="AD234" s="562"/>
      <c r="AF234" s="193"/>
      <c r="AG234" s="193"/>
      <c r="AH234" s="561"/>
      <c r="AI234" s="562"/>
      <c r="AK234" s="193"/>
      <c r="AL234" s="193"/>
      <c r="AM234" s="561"/>
      <c r="AN234" s="562"/>
      <c r="AV234" s="193"/>
      <c r="AW234" s="561"/>
      <c r="AX234" s="562"/>
    </row>
    <row r="235" spans="1:12" s="107" customFormat="1" ht="12.75">
      <c r="A235" s="107" t="s">
        <v>478</v>
      </c>
      <c r="B235" s="78"/>
      <c r="C235" s="108"/>
      <c r="D235" s="108"/>
      <c r="E235" s="108"/>
      <c r="F235" s="108"/>
      <c r="G235" s="108"/>
      <c r="H235" s="108"/>
      <c r="I235" s="108"/>
      <c r="J235" s="108"/>
      <c r="K235" s="108"/>
      <c r="L235" s="108"/>
    </row>
    <row r="236" spans="1:46" ht="12.75">
      <c r="A236" s="110"/>
      <c r="B236" s="301"/>
      <c r="C236" s="301"/>
      <c r="D236" s="301"/>
      <c r="E236" s="301"/>
      <c r="F236" s="301"/>
      <c r="G236" s="301"/>
      <c r="H236" s="301"/>
      <c r="I236" s="301"/>
      <c r="J236" s="301"/>
      <c r="K236" s="301"/>
      <c r="AP236" s="301"/>
      <c r="AQ236" s="301"/>
      <c r="AR236" s="301"/>
      <c r="AS236" s="301"/>
      <c r="AT236" s="301"/>
    </row>
    <row r="237" spans="2:37" s="301" customFormat="1" ht="12.75">
      <c r="B237" s="319" t="s">
        <v>139</v>
      </c>
      <c r="G237" s="319" t="s">
        <v>58</v>
      </c>
      <c r="L237" s="319" t="s">
        <v>141</v>
      </c>
      <c r="Q237" s="319" t="s">
        <v>388</v>
      </c>
      <c r="V237" s="319" t="s">
        <v>142</v>
      </c>
      <c r="AA237" s="319" t="s">
        <v>143</v>
      </c>
      <c r="AF237" s="319" t="s">
        <v>140</v>
      </c>
      <c r="AK237" s="103" t="s">
        <v>59</v>
      </c>
    </row>
    <row r="238" spans="2:40" s="301" customFormat="1" ht="12.75">
      <c r="B238" s="320" t="s">
        <v>227</v>
      </c>
      <c r="C238" s="321"/>
      <c r="D238" s="320" t="s">
        <v>346</v>
      </c>
      <c r="E238" s="500" t="s">
        <v>347</v>
      </c>
      <c r="G238" s="320" t="s">
        <v>227</v>
      </c>
      <c r="H238" s="321"/>
      <c r="I238" s="104" t="s">
        <v>346</v>
      </c>
      <c r="J238" s="117" t="s">
        <v>347</v>
      </c>
      <c r="L238" s="320" t="s">
        <v>227</v>
      </c>
      <c r="M238" s="321"/>
      <c r="N238" s="121" t="s">
        <v>346</v>
      </c>
      <c r="O238" s="121" t="s">
        <v>347</v>
      </c>
      <c r="Q238" s="586" t="s">
        <v>227</v>
      </c>
      <c r="R238" s="321"/>
      <c r="S238" s="120" t="s">
        <v>346</v>
      </c>
      <c r="T238" s="117" t="s">
        <v>347</v>
      </c>
      <c r="V238" s="587" t="s">
        <v>227</v>
      </c>
      <c r="W238" s="335"/>
      <c r="X238" s="119" t="s">
        <v>346</v>
      </c>
      <c r="Y238" s="117" t="s">
        <v>347</v>
      </c>
      <c r="AA238" s="586" t="s">
        <v>227</v>
      </c>
      <c r="AB238" s="321"/>
      <c r="AC238" s="111" t="s">
        <v>346</v>
      </c>
      <c r="AD238" s="105" t="s">
        <v>347</v>
      </c>
      <c r="AF238" s="320" t="s">
        <v>227</v>
      </c>
      <c r="AG238" s="321"/>
      <c r="AH238" s="120" t="s">
        <v>346</v>
      </c>
      <c r="AI238" s="117" t="s">
        <v>347</v>
      </c>
      <c r="AK238" s="586" t="s">
        <v>227</v>
      </c>
      <c r="AL238" s="321"/>
      <c r="AM238" s="104" t="s">
        <v>346</v>
      </c>
      <c r="AN238" s="117" t="s">
        <v>347</v>
      </c>
    </row>
    <row r="239" spans="2:40" s="301" customFormat="1" ht="12.75">
      <c r="B239" s="348" t="s">
        <v>257</v>
      </c>
      <c r="C239" s="326"/>
      <c r="D239" s="452"/>
      <c r="E239" s="453"/>
      <c r="G239" s="596"/>
      <c r="H239" s="331"/>
      <c r="I239" s="454"/>
      <c r="J239" s="455"/>
      <c r="L239" s="348" t="s">
        <v>259</v>
      </c>
      <c r="M239" s="331"/>
      <c r="N239" s="454"/>
      <c r="O239" s="453"/>
      <c r="Q239" s="348" t="s">
        <v>257</v>
      </c>
      <c r="R239" s="331"/>
      <c r="S239" s="452"/>
      <c r="T239" s="455"/>
      <c r="V239" s="336" t="s">
        <v>260</v>
      </c>
      <c r="W239" s="331"/>
      <c r="X239" s="458">
        <v>16.44</v>
      </c>
      <c r="Y239" s="459">
        <v>2711550.16533849</v>
      </c>
      <c r="AA239" s="348" t="s">
        <v>257</v>
      </c>
      <c r="AB239" s="331"/>
      <c r="AC239" s="452"/>
      <c r="AD239" s="460"/>
      <c r="AF239" s="348" t="s">
        <v>258</v>
      </c>
      <c r="AG239" s="331"/>
      <c r="AH239" s="456">
        <v>6.84</v>
      </c>
      <c r="AI239" s="457">
        <v>562227.8859649124</v>
      </c>
      <c r="AK239" s="348" t="s">
        <v>351</v>
      </c>
      <c r="AL239" s="331"/>
      <c r="AM239" s="461">
        <v>5222.28</v>
      </c>
      <c r="AN239" s="462">
        <v>28.81530098849528</v>
      </c>
    </row>
    <row r="240" spans="2:40" s="301" customFormat="1" ht="12.75">
      <c r="B240" s="348" t="s">
        <v>206</v>
      </c>
      <c r="C240" s="338"/>
      <c r="D240" s="463"/>
      <c r="E240" s="464"/>
      <c r="G240" s="330" t="s">
        <v>206</v>
      </c>
      <c r="H240" s="344"/>
      <c r="I240" s="465"/>
      <c r="J240" s="466"/>
      <c r="L240" s="348" t="s">
        <v>263</v>
      </c>
      <c r="M240" s="344"/>
      <c r="N240" s="465"/>
      <c r="O240" s="464"/>
      <c r="Q240" s="348" t="s">
        <v>206</v>
      </c>
      <c r="R240" s="344"/>
      <c r="S240" s="463"/>
      <c r="T240" s="466"/>
      <c r="V240" s="348" t="s">
        <v>264</v>
      </c>
      <c r="W240" s="344"/>
      <c r="X240" s="467">
        <v>25.44</v>
      </c>
      <c r="Y240" s="468">
        <v>73890.3861263407</v>
      </c>
      <c r="AA240" s="348" t="s">
        <v>206</v>
      </c>
      <c r="AB240" s="344"/>
      <c r="AC240" s="463"/>
      <c r="AD240" s="469"/>
      <c r="AF240" s="348" t="s">
        <v>262</v>
      </c>
      <c r="AG240" s="344"/>
      <c r="AH240" s="393">
        <v>17.76</v>
      </c>
      <c r="AI240" s="444">
        <v>1838374.64358108</v>
      </c>
      <c r="AK240" s="348" t="s">
        <v>352</v>
      </c>
      <c r="AL240" s="344"/>
      <c r="AM240" s="350">
        <v>1715.89</v>
      </c>
      <c r="AN240" s="441">
        <v>235.9948494171534</v>
      </c>
    </row>
    <row r="241" spans="2:40" s="301" customFormat="1" ht="12.75">
      <c r="B241" s="348" t="s">
        <v>266</v>
      </c>
      <c r="C241" s="338"/>
      <c r="D241" s="463"/>
      <c r="E241" s="464"/>
      <c r="G241" s="330" t="s">
        <v>267</v>
      </c>
      <c r="H241" s="344"/>
      <c r="I241" s="470">
        <v>5958.84</v>
      </c>
      <c r="J241" s="471">
        <v>10</v>
      </c>
      <c r="L241" s="348" t="s">
        <v>269</v>
      </c>
      <c r="M241" s="344"/>
      <c r="N241" s="472">
        <v>1910</v>
      </c>
      <c r="O241" s="471">
        <v>186.28092432175154</v>
      </c>
      <c r="Q241" s="348" t="s">
        <v>266</v>
      </c>
      <c r="R241" s="344"/>
      <c r="S241" s="473">
        <v>5424</v>
      </c>
      <c r="T241" s="471">
        <v>0.9977530269984856</v>
      </c>
      <c r="V241" s="348" t="s">
        <v>270</v>
      </c>
      <c r="W241" s="344"/>
      <c r="X241" s="467">
        <v>30.84</v>
      </c>
      <c r="Y241" s="468">
        <v>38003.2476445204</v>
      </c>
      <c r="AA241" s="348" t="s">
        <v>266</v>
      </c>
      <c r="AB241" s="344"/>
      <c r="AC241" s="463"/>
      <c r="AD241" s="469"/>
      <c r="AF241" s="348" t="s">
        <v>268</v>
      </c>
      <c r="AG241" s="344"/>
      <c r="AH241" s="378">
        <v>36.24</v>
      </c>
      <c r="AI241" s="443">
        <v>79147.4470198675</v>
      </c>
      <c r="AK241" s="348" t="s">
        <v>271</v>
      </c>
      <c r="AL241" s="344"/>
      <c r="AM241" s="350">
        <v>663.96</v>
      </c>
      <c r="AN241" s="441">
        <v>5.936600028941011</v>
      </c>
    </row>
    <row r="242" spans="2:40" s="301" customFormat="1" ht="12.75">
      <c r="B242" s="348" t="s">
        <v>272</v>
      </c>
      <c r="C242" s="338"/>
      <c r="D242" s="463"/>
      <c r="E242" s="464"/>
      <c r="G242" s="330" t="s">
        <v>272</v>
      </c>
      <c r="H242" s="344"/>
      <c r="I242" s="474"/>
      <c r="J242" s="466"/>
      <c r="L242" s="348" t="s">
        <v>274</v>
      </c>
      <c r="M242" s="344"/>
      <c r="N242" s="472">
        <v>1645</v>
      </c>
      <c r="O242" s="471">
        <v>646.2193114119923</v>
      </c>
      <c r="Q242" s="348" t="s">
        <v>275</v>
      </c>
      <c r="R242" s="344"/>
      <c r="S242" s="473">
        <v>1877.57</v>
      </c>
      <c r="T242" s="471">
        <v>3.9909491567771394</v>
      </c>
      <c r="V242" s="348" t="s">
        <v>276</v>
      </c>
      <c r="W242" s="344"/>
      <c r="X242" s="475">
        <v>110.52</v>
      </c>
      <c r="Y242" s="476">
        <v>7832.886361111109</v>
      </c>
      <c r="AA242" s="348" t="s">
        <v>277</v>
      </c>
      <c r="AB242" s="344"/>
      <c r="AC242" s="350">
        <v>1599.35</v>
      </c>
      <c r="AD242" s="441">
        <v>1</v>
      </c>
      <c r="AF242" s="348" t="s">
        <v>273</v>
      </c>
      <c r="AG242" s="344"/>
      <c r="AH242" s="358">
        <v>51.6</v>
      </c>
      <c r="AI242" s="442">
        <v>14040.836240310078</v>
      </c>
      <c r="AK242" s="348" t="s">
        <v>278</v>
      </c>
      <c r="AL242" s="344"/>
      <c r="AM242" s="350">
        <v>569.97</v>
      </c>
      <c r="AN242" s="441">
        <v>112.98220040750883</v>
      </c>
    </row>
    <row r="243" spans="2:40" s="301" customFormat="1" ht="12.75">
      <c r="B243" s="348" t="s">
        <v>279</v>
      </c>
      <c r="C243" s="338"/>
      <c r="D243" s="477">
        <v>467.58</v>
      </c>
      <c r="E243" s="524">
        <v>30</v>
      </c>
      <c r="G243" s="348" t="s">
        <v>280</v>
      </c>
      <c r="H243" s="344"/>
      <c r="I243" s="478">
        <v>894.27</v>
      </c>
      <c r="J243" s="351">
        <v>400.75000000000006</v>
      </c>
      <c r="L243" s="348" t="s">
        <v>282</v>
      </c>
      <c r="M243" s="344"/>
      <c r="N243" s="419">
        <v>616</v>
      </c>
      <c r="O243" s="351">
        <v>14023.152449822903</v>
      </c>
      <c r="Q243" s="348" t="s">
        <v>353</v>
      </c>
      <c r="R243" s="344"/>
      <c r="S243" s="350">
        <v>610.76</v>
      </c>
      <c r="T243" s="351">
        <v>583.941782793161</v>
      </c>
      <c r="V243" s="348" t="s">
        <v>284</v>
      </c>
      <c r="W243" s="344"/>
      <c r="X243" s="475">
        <v>124.08</v>
      </c>
      <c r="Y243" s="476">
        <v>5451.4743055555555</v>
      </c>
      <c r="AA243" s="348" t="s">
        <v>285</v>
      </c>
      <c r="AB243" s="344"/>
      <c r="AC243" s="350">
        <v>539</v>
      </c>
      <c r="AD243" s="441">
        <v>17.73</v>
      </c>
      <c r="AF243" s="348" t="s">
        <v>281</v>
      </c>
      <c r="AG243" s="344"/>
      <c r="AH243" s="350">
        <v>463.92</v>
      </c>
      <c r="AI243" s="441">
        <v>4662.826823590274</v>
      </c>
      <c r="AK243" s="348" t="s">
        <v>286</v>
      </c>
      <c r="AL243" s="344"/>
      <c r="AM243" s="358">
        <v>380.48</v>
      </c>
      <c r="AN243" s="442">
        <v>148.87421450546802</v>
      </c>
    </row>
    <row r="244" spans="2:40" s="301" customFormat="1" ht="12.75">
      <c r="B244" s="348" t="s">
        <v>287</v>
      </c>
      <c r="C244" s="338"/>
      <c r="D244" s="479">
        <v>408.79</v>
      </c>
      <c r="E244" s="480">
        <v>209</v>
      </c>
      <c r="G244" s="348" t="s">
        <v>288</v>
      </c>
      <c r="H244" s="344"/>
      <c r="I244" s="422">
        <v>129.45</v>
      </c>
      <c r="J244" s="359">
        <v>1444.9166666666665</v>
      </c>
      <c r="L244" s="348" t="s">
        <v>290</v>
      </c>
      <c r="M244" s="344"/>
      <c r="N244" s="422">
        <v>155</v>
      </c>
      <c r="O244" s="359">
        <v>12070.145313782992</v>
      </c>
      <c r="Q244" s="348" t="s">
        <v>354</v>
      </c>
      <c r="R244" s="344"/>
      <c r="S244" s="358">
        <v>212.43</v>
      </c>
      <c r="T244" s="359">
        <v>657.6231129856694</v>
      </c>
      <c r="V244" s="348" t="s">
        <v>292</v>
      </c>
      <c r="W244" s="344"/>
      <c r="X244" s="475">
        <v>510</v>
      </c>
      <c r="Y244" s="476">
        <v>10245.43610191994</v>
      </c>
      <c r="AA244" s="348" t="s">
        <v>293</v>
      </c>
      <c r="AB244" s="344"/>
      <c r="AC244" s="358">
        <v>182.8</v>
      </c>
      <c r="AD244" s="442">
        <v>134.06</v>
      </c>
      <c r="AF244" s="348" t="s">
        <v>289</v>
      </c>
      <c r="AG244" s="344"/>
      <c r="AH244" s="350">
        <v>1100.28</v>
      </c>
      <c r="AI244" s="441">
        <v>36.31323343054543</v>
      </c>
      <c r="AK244" s="348" t="s">
        <v>294</v>
      </c>
      <c r="AL244" s="344"/>
      <c r="AM244" s="358">
        <v>188</v>
      </c>
      <c r="AN244" s="442">
        <v>86.12359740245829</v>
      </c>
    </row>
    <row r="245" spans="2:40" s="301" customFormat="1" ht="12.75">
      <c r="B245" s="348" t="s">
        <v>295</v>
      </c>
      <c r="C245" s="338"/>
      <c r="D245" s="479">
        <v>20.46</v>
      </c>
      <c r="E245" s="480">
        <v>305</v>
      </c>
      <c r="G245" s="348" t="s">
        <v>296</v>
      </c>
      <c r="H245" s="344"/>
      <c r="I245" s="422">
        <v>30.93</v>
      </c>
      <c r="J245" s="359">
        <v>352.4166666666667</v>
      </c>
      <c r="L245" s="348" t="s">
        <v>299</v>
      </c>
      <c r="M245" s="344"/>
      <c r="N245" s="422">
        <v>155</v>
      </c>
      <c r="O245" s="359">
        <v>0</v>
      </c>
      <c r="Q245" s="348" t="s">
        <v>298</v>
      </c>
      <c r="R245" s="344"/>
      <c r="S245" s="358">
        <v>0</v>
      </c>
      <c r="T245" s="359">
        <v>0</v>
      </c>
      <c r="V245" s="348" t="s">
        <v>300</v>
      </c>
      <c r="W245" s="363"/>
      <c r="X245" s="482">
        <v>944.4</v>
      </c>
      <c r="Y245" s="483">
        <v>211.97719791666663</v>
      </c>
      <c r="AA245" s="348" t="s">
        <v>301</v>
      </c>
      <c r="AB245" s="344"/>
      <c r="AC245" s="358">
        <v>41.45</v>
      </c>
      <c r="AD245" s="442">
        <v>122.1</v>
      </c>
      <c r="AF245" s="348" t="s">
        <v>297</v>
      </c>
      <c r="AG245" s="344"/>
      <c r="AH245" s="473">
        <v>6201.6</v>
      </c>
      <c r="AI245" s="481">
        <v>155.4660306245226</v>
      </c>
      <c r="AK245" s="348" t="s">
        <v>302</v>
      </c>
      <c r="AL245" s="344"/>
      <c r="AM245" s="358">
        <v>188</v>
      </c>
      <c r="AN245" s="442">
        <v>5.339471834805381</v>
      </c>
    </row>
    <row r="246" spans="2:40" s="301" customFormat="1" ht="12.75">
      <c r="B246" s="348" t="s">
        <v>303</v>
      </c>
      <c r="C246" s="338"/>
      <c r="D246" s="484">
        <v>17.05</v>
      </c>
      <c r="E246" s="485">
        <v>1179</v>
      </c>
      <c r="G246" s="348" t="s">
        <v>304</v>
      </c>
      <c r="H246" s="344"/>
      <c r="I246" s="428">
        <v>30.93</v>
      </c>
      <c r="J246" s="379">
        <v>0</v>
      </c>
      <c r="L246" s="348" t="s">
        <v>305</v>
      </c>
      <c r="M246" s="344"/>
      <c r="N246" s="428">
        <v>32.6</v>
      </c>
      <c r="O246" s="379">
        <v>121967.800299048</v>
      </c>
      <c r="Q246" s="348" t="s">
        <v>355</v>
      </c>
      <c r="R246" s="344"/>
      <c r="S246" s="378">
        <v>13.83</v>
      </c>
      <c r="T246" s="379">
        <v>0</v>
      </c>
      <c r="V246" s="348" t="s">
        <v>307</v>
      </c>
      <c r="W246" s="344"/>
      <c r="X246" s="482">
        <v>1500</v>
      </c>
      <c r="Y246" s="483">
        <v>2141.3891493055535</v>
      </c>
      <c r="AA246" s="348" t="s">
        <v>308</v>
      </c>
      <c r="AB246" s="344"/>
      <c r="AC246" s="378">
        <v>41.45</v>
      </c>
      <c r="AD246" s="443">
        <v>1178</v>
      </c>
      <c r="AF246" s="369"/>
      <c r="AG246" s="370"/>
      <c r="AH246" s="375"/>
      <c r="AI246" s="375"/>
      <c r="AK246" s="348" t="s">
        <v>309</v>
      </c>
      <c r="AL246" s="344"/>
      <c r="AM246" s="358">
        <v>143.24</v>
      </c>
      <c r="AN246" s="442">
        <v>16.471322691041664</v>
      </c>
    </row>
    <row r="247" spans="2:40" s="301" customFormat="1" ht="12.75">
      <c r="B247" s="348" t="s">
        <v>310</v>
      </c>
      <c r="C247" s="338"/>
      <c r="D247" s="484">
        <v>17.05</v>
      </c>
      <c r="E247" s="485">
        <v>410</v>
      </c>
      <c r="G247" s="348" t="s">
        <v>311</v>
      </c>
      <c r="H247" s="344"/>
      <c r="I247" s="428">
        <v>30.93</v>
      </c>
      <c r="J247" s="379">
        <v>7152.08316685507</v>
      </c>
      <c r="L247" s="348" t="s">
        <v>312</v>
      </c>
      <c r="M247" s="344"/>
      <c r="N247" s="428">
        <v>32.6</v>
      </c>
      <c r="O247" s="379">
        <v>0</v>
      </c>
      <c r="Q247" s="348" t="s">
        <v>356</v>
      </c>
      <c r="R247" s="344"/>
      <c r="S247" s="378">
        <v>13.83</v>
      </c>
      <c r="T247" s="379">
        <v>3375.00810764053</v>
      </c>
      <c r="V247" s="348" t="s">
        <v>314</v>
      </c>
      <c r="W247" s="344"/>
      <c r="X247" s="487">
        <v>6636</v>
      </c>
      <c r="Y247" s="488">
        <v>129.0146076388889</v>
      </c>
      <c r="AA247" s="348" t="s">
        <v>315</v>
      </c>
      <c r="AB247" s="344"/>
      <c r="AC247" s="378">
        <v>0</v>
      </c>
      <c r="AD247" s="443">
        <v>0</v>
      </c>
      <c r="AI247" s="486"/>
      <c r="AK247" s="348" t="s">
        <v>317</v>
      </c>
      <c r="AL247" s="344"/>
      <c r="AM247" s="358">
        <v>143.24</v>
      </c>
      <c r="AN247" s="442">
        <v>144.68208137852696</v>
      </c>
    </row>
    <row r="248" spans="2:40" s="301" customFormat="1" ht="12.75">
      <c r="B248" s="348" t="s">
        <v>318</v>
      </c>
      <c r="C248" s="338"/>
      <c r="D248" s="489">
        <v>17.05</v>
      </c>
      <c r="E248" s="490">
        <v>31654</v>
      </c>
      <c r="G248" s="348" t="s">
        <v>319</v>
      </c>
      <c r="H248" s="344"/>
      <c r="I248" s="430">
        <v>18.81</v>
      </c>
      <c r="J248" s="394">
        <v>0</v>
      </c>
      <c r="L248" s="348" t="s">
        <v>320</v>
      </c>
      <c r="M248" s="344"/>
      <c r="N248" s="430">
        <v>28.6</v>
      </c>
      <c r="O248" s="394">
        <v>2407244.50042371</v>
      </c>
      <c r="Q248" s="348" t="s">
        <v>357</v>
      </c>
      <c r="R248" s="344"/>
      <c r="S248" s="393">
        <v>13.83</v>
      </c>
      <c r="T248" s="394">
        <v>0</v>
      </c>
      <c r="V248" s="348" t="s">
        <v>322</v>
      </c>
      <c r="W248" s="344"/>
      <c r="X248" s="487">
        <v>9660</v>
      </c>
      <c r="Y248" s="488">
        <v>63.974839403749996</v>
      </c>
      <c r="AA248" s="348" t="s">
        <v>323</v>
      </c>
      <c r="AB248" s="344"/>
      <c r="AC248" s="393">
        <v>25.56</v>
      </c>
      <c r="AD248" s="444">
        <v>19529</v>
      </c>
      <c r="AK248" s="348" t="s">
        <v>324</v>
      </c>
      <c r="AL248" s="344"/>
      <c r="AM248" s="358">
        <v>138.3</v>
      </c>
      <c r="AN248" s="442">
        <v>87.92818266925963</v>
      </c>
    </row>
    <row r="249" spans="2:40" s="301" customFormat="1" ht="12.75">
      <c r="B249" s="348" t="s">
        <v>325</v>
      </c>
      <c r="C249" s="338"/>
      <c r="D249" s="489">
        <v>17.05</v>
      </c>
      <c r="E249" s="490">
        <v>18710</v>
      </c>
      <c r="G249" s="348" t="s">
        <v>326</v>
      </c>
      <c r="H249" s="344"/>
      <c r="I249" s="430">
        <v>18.81</v>
      </c>
      <c r="J249" s="394">
        <v>195378.583499812</v>
      </c>
      <c r="L249" s="348" t="s">
        <v>327</v>
      </c>
      <c r="M249" s="344"/>
      <c r="N249" s="430">
        <v>28.6</v>
      </c>
      <c r="O249" s="394">
        <v>0</v>
      </c>
      <c r="Q249" s="348" t="s">
        <v>358</v>
      </c>
      <c r="R249" s="344"/>
      <c r="S249" s="393">
        <v>13.83</v>
      </c>
      <c r="T249" s="394">
        <v>99272.0752223584</v>
      </c>
      <c r="V249" s="348" t="s">
        <v>329</v>
      </c>
      <c r="W249" s="344"/>
      <c r="X249" s="491">
        <v>8.4</v>
      </c>
      <c r="Y249" s="492">
        <v>772155.8848441471</v>
      </c>
      <c r="AA249" s="348" t="s">
        <v>330</v>
      </c>
      <c r="AB249" s="344"/>
      <c r="AC249" s="393">
        <v>25.56</v>
      </c>
      <c r="AD249" s="444">
        <v>10175</v>
      </c>
      <c r="AK249" s="348" t="s">
        <v>331</v>
      </c>
      <c r="AL249" s="344"/>
      <c r="AM249" s="358">
        <v>130.11</v>
      </c>
      <c r="AN249" s="442">
        <v>501.9442954403272</v>
      </c>
    </row>
    <row r="250" spans="2:40" s="301" customFormat="1" ht="12.75">
      <c r="B250" s="348" t="s">
        <v>332</v>
      </c>
      <c r="C250" s="338"/>
      <c r="D250" s="493">
        <v>5.96</v>
      </c>
      <c r="E250" s="494">
        <v>22611</v>
      </c>
      <c r="G250" s="348" t="s">
        <v>333</v>
      </c>
      <c r="H250" s="344"/>
      <c r="I250" s="436">
        <v>1.92</v>
      </c>
      <c r="J250" s="399">
        <v>84946</v>
      </c>
      <c r="L250" s="348" t="s">
        <v>334</v>
      </c>
      <c r="M250" s="344"/>
      <c r="N250" s="436">
        <v>3.51</v>
      </c>
      <c r="O250" s="399">
        <v>1062638.4827764828</v>
      </c>
      <c r="Q250" s="348" t="s">
        <v>335</v>
      </c>
      <c r="R250" s="344"/>
      <c r="S250" s="435">
        <v>6.54</v>
      </c>
      <c r="T250" s="399">
        <v>44297.611249095964</v>
      </c>
      <c r="V250" s="369"/>
      <c r="W250" s="370"/>
      <c r="X250" s="377"/>
      <c r="Y250" s="376"/>
      <c r="AA250" s="348" t="s">
        <v>336</v>
      </c>
      <c r="AB250" s="344"/>
      <c r="AC250" s="398">
        <v>12.64</v>
      </c>
      <c r="AD250" s="495">
        <v>18103</v>
      </c>
      <c r="AK250" s="348" t="s">
        <v>337</v>
      </c>
      <c r="AL250" s="344"/>
      <c r="AM250" s="378">
        <v>51.79</v>
      </c>
      <c r="AN250" s="443">
        <v>627.099171029286</v>
      </c>
    </row>
    <row r="251" spans="2:40" s="301" customFormat="1" ht="12.75">
      <c r="B251" s="369"/>
      <c r="C251" s="370"/>
      <c r="D251" s="496"/>
      <c r="E251" s="371"/>
      <c r="G251" s="369"/>
      <c r="H251" s="370"/>
      <c r="I251" s="371"/>
      <c r="J251" s="497"/>
      <c r="L251" s="369"/>
      <c r="M251" s="370"/>
      <c r="N251" s="371"/>
      <c r="O251" s="497"/>
      <c r="Q251" s="369"/>
      <c r="R251" s="370"/>
      <c r="S251" s="371"/>
      <c r="T251" s="371"/>
      <c r="AA251" s="369"/>
      <c r="AB251" s="370"/>
      <c r="AC251" s="375"/>
      <c r="AD251" s="426"/>
      <c r="AK251" s="330" t="s">
        <v>338</v>
      </c>
      <c r="AL251" s="363"/>
      <c r="AM251" s="378">
        <v>51.79</v>
      </c>
      <c r="AN251" s="443">
        <v>660.471281247241</v>
      </c>
    </row>
    <row r="252" spans="7:40" ht="12.75">
      <c r="G252" s="341"/>
      <c r="L252" s="588"/>
      <c r="Q252" s="301"/>
      <c r="AK252" s="330" t="s">
        <v>339</v>
      </c>
      <c r="AL252" s="363"/>
      <c r="AM252" s="378">
        <v>51.79</v>
      </c>
      <c r="AN252" s="443">
        <v>825.37829315682</v>
      </c>
    </row>
    <row r="253" spans="7:40" ht="12.75">
      <c r="G253" s="341"/>
      <c r="Q253" s="392"/>
      <c r="AK253" s="330" t="s">
        <v>340</v>
      </c>
      <c r="AL253" s="363"/>
      <c r="AM253" s="378">
        <v>15.36</v>
      </c>
      <c r="AN253" s="443">
        <v>1552.82545701789</v>
      </c>
    </row>
    <row r="254" spans="37:40" ht="12.75">
      <c r="AK254" s="330" t="s">
        <v>342</v>
      </c>
      <c r="AL254" s="363"/>
      <c r="AM254" s="393">
        <v>13.75</v>
      </c>
      <c r="AN254" s="444">
        <v>48234.725703994</v>
      </c>
    </row>
    <row r="255" spans="37:40" ht="12.75">
      <c r="AK255" s="330" t="s">
        <v>344</v>
      </c>
      <c r="AL255" s="363"/>
      <c r="AM255" s="398">
        <v>2.61</v>
      </c>
      <c r="AN255" s="495">
        <v>24409.2761343099</v>
      </c>
    </row>
    <row r="256" spans="37:40" ht="12.75">
      <c r="AK256" s="369"/>
      <c r="AL256" s="370"/>
      <c r="AM256" s="375"/>
      <c r="AN256" s="375"/>
    </row>
    <row r="257" spans="1:40" s="301" customFormat="1" ht="12.75">
      <c r="A257" s="189"/>
      <c r="B257" s="402" t="s">
        <v>381</v>
      </c>
      <c r="C257" s="383"/>
      <c r="D257" s="403">
        <f>SUMPRODUCT(D239:D255,E239:E255)</f>
        <v>1126265.02</v>
      </c>
      <c r="G257" s="402" t="s">
        <v>381</v>
      </c>
      <c r="H257" s="383"/>
      <c r="I257" s="403">
        <f>SUMPRODUCT(I239:I255,J239:J255)</f>
        <v>4675293.220482292</v>
      </c>
      <c r="L257" s="402" t="s">
        <v>381</v>
      </c>
      <c r="M257" s="383"/>
      <c r="N257" s="403">
        <f>SUMPRODUCT(N239:N255,O239:O255)</f>
        <v>88481165.84186707</v>
      </c>
      <c r="Q257" s="402" t="s">
        <v>381</v>
      </c>
      <c r="R257" s="383"/>
      <c r="S257" s="403">
        <f>SUMPRODUCT(S239:S255,T239:T255)</f>
        <v>2218567.8</v>
      </c>
      <c r="V257" s="402" t="s">
        <v>381</v>
      </c>
      <c r="W257" s="383"/>
      <c r="X257" s="403">
        <f>SUMPRODUCT(X239:X255,Y239:Y255)</f>
        <v>65769480.55031195</v>
      </c>
      <c r="AA257" s="402" t="s">
        <v>381</v>
      </c>
      <c r="AB257" s="383"/>
      <c r="AC257" s="403">
        <f>SUMPRODUCT(AC239:AC255,AD239:AD255)</f>
        <v>1077607.293</v>
      </c>
      <c r="AF257" s="402" t="s">
        <v>381</v>
      </c>
      <c r="AG257" s="383"/>
      <c r="AH257" s="403">
        <f>SUMPRODUCT(AH239:AH255,AI239:AI255)</f>
        <v>43255254.51999997</v>
      </c>
      <c r="AK257" s="402" t="s">
        <v>381</v>
      </c>
      <c r="AL257" s="383"/>
      <c r="AM257" s="403">
        <f>SUMPRODUCT(AM239:AM255,AN239:AN255)</f>
        <v>1658368.3773138067</v>
      </c>
      <c r="AN257" s="404"/>
    </row>
    <row r="258" spans="1:40" s="301" customFormat="1" ht="12.75">
      <c r="A258" s="318"/>
      <c r="B258" s="498"/>
      <c r="C258" s="169"/>
      <c r="D258" s="499"/>
      <c r="G258" s="498"/>
      <c r="H258" s="169"/>
      <c r="I258" s="499"/>
      <c r="L258" s="498"/>
      <c r="M258" s="169"/>
      <c r="N258" s="499"/>
      <c r="Q258" s="498"/>
      <c r="R258" s="169"/>
      <c r="S258" s="499"/>
      <c r="V258" s="498"/>
      <c r="W258" s="169"/>
      <c r="X258" s="499"/>
      <c r="AA258" s="498"/>
      <c r="AB258" s="169"/>
      <c r="AC258" s="499"/>
      <c r="AF258" s="498"/>
      <c r="AG258" s="169"/>
      <c r="AH258" s="499"/>
      <c r="AK258" s="498"/>
      <c r="AL258" s="169"/>
      <c r="AM258" s="499"/>
      <c r="AN258" s="404"/>
    </row>
    <row r="259" spans="1:40" s="301" customFormat="1" ht="12.75">
      <c r="A259" s="519"/>
      <c r="B259" s="320" t="s">
        <v>37</v>
      </c>
      <c r="C259" s="321"/>
      <c r="D259" s="320" t="s">
        <v>346</v>
      </c>
      <c r="E259" s="500" t="s">
        <v>347</v>
      </c>
      <c r="F259" s="106"/>
      <c r="G259" s="320" t="s">
        <v>37</v>
      </c>
      <c r="H259" s="321"/>
      <c r="I259" s="320" t="s">
        <v>346</v>
      </c>
      <c r="J259" s="500" t="s">
        <v>347</v>
      </c>
      <c r="K259" s="106"/>
      <c r="L259" s="320" t="s">
        <v>37</v>
      </c>
      <c r="M259" s="321"/>
      <c r="N259" s="320" t="s">
        <v>346</v>
      </c>
      <c r="O259" s="500" t="s">
        <v>347</v>
      </c>
      <c r="P259" s="106"/>
      <c r="Q259" s="320" t="s">
        <v>37</v>
      </c>
      <c r="R259" s="321"/>
      <c r="S259" s="320" t="s">
        <v>346</v>
      </c>
      <c r="T259" s="500" t="s">
        <v>347</v>
      </c>
      <c r="U259" s="106"/>
      <c r="V259" s="320" t="s">
        <v>37</v>
      </c>
      <c r="W259" s="321"/>
      <c r="X259" s="320" t="s">
        <v>346</v>
      </c>
      <c r="Y259" s="500" t="s">
        <v>347</v>
      </c>
      <c r="Z259" s="106"/>
      <c r="AA259" s="320" t="s">
        <v>37</v>
      </c>
      <c r="AB259" s="321"/>
      <c r="AC259" s="320" t="s">
        <v>346</v>
      </c>
      <c r="AD259" s="500" t="s">
        <v>347</v>
      </c>
      <c r="AF259" s="320" t="s">
        <v>37</v>
      </c>
      <c r="AG259" s="321"/>
      <c r="AH259" s="320" t="s">
        <v>346</v>
      </c>
      <c r="AI259" s="500" t="s">
        <v>347</v>
      </c>
      <c r="AJ259" s="106"/>
      <c r="AK259" s="320" t="s">
        <v>37</v>
      </c>
      <c r="AL259" s="321"/>
      <c r="AM259" s="320" t="s">
        <v>346</v>
      </c>
      <c r="AN259" s="500" t="s">
        <v>347</v>
      </c>
    </row>
    <row r="260" spans="1:40" s="301" customFormat="1" ht="12.75">
      <c r="A260" s="519"/>
      <c r="B260" s="325"/>
      <c r="C260" s="501"/>
      <c r="D260" s="502"/>
      <c r="E260" s="502"/>
      <c r="F260" s="503"/>
      <c r="G260" s="325" t="s">
        <v>36</v>
      </c>
      <c r="H260" s="501"/>
      <c r="I260" s="502">
        <v>1.44</v>
      </c>
      <c r="J260" s="502">
        <v>146306</v>
      </c>
      <c r="K260" s="503"/>
      <c r="L260" s="325" t="s">
        <v>38</v>
      </c>
      <c r="M260" s="501"/>
      <c r="N260" s="502">
        <v>2.58</v>
      </c>
      <c r="O260" s="504">
        <v>95345.90274841437</v>
      </c>
      <c r="P260" s="503"/>
      <c r="Q260" s="235" t="s">
        <v>41</v>
      </c>
      <c r="R260" s="501"/>
      <c r="S260" s="517">
        <v>3</v>
      </c>
      <c r="T260" s="504">
        <v>2834.9933333333333</v>
      </c>
      <c r="U260" s="503"/>
      <c r="V260" s="234" t="s">
        <v>40</v>
      </c>
      <c r="W260" s="501"/>
      <c r="X260" s="517">
        <v>1.5</v>
      </c>
      <c r="Y260" s="504">
        <v>766153.7973478092</v>
      </c>
      <c r="Z260" s="503"/>
      <c r="AA260" s="325" t="s">
        <v>36</v>
      </c>
      <c r="AB260" s="501"/>
      <c r="AC260" s="502">
        <v>13.64</v>
      </c>
      <c r="AD260" s="502">
        <v>5615</v>
      </c>
      <c r="AF260" s="325" t="s">
        <v>36</v>
      </c>
      <c r="AG260" s="501"/>
      <c r="AH260" s="502">
        <v>5.85</v>
      </c>
      <c r="AI260" s="504">
        <v>105135.99291762552</v>
      </c>
      <c r="AJ260" s="503"/>
      <c r="AK260" s="325" t="s">
        <v>36</v>
      </c>
      <c r="AL260" s="501"/>
      <c r="AM260" s="502">
        <v>3.87</v>
      </c>
      <c r="AN260" s="502">
        <v>2300</v>
      </c>
    </row>
    <row r="261" spans="1:40" s="301" customFormat="1" ht="12.75">
      <c r="A261" s="519"/>
      <c r="B261" s="505"/>
      <c r="C261" s="506"/>
      <c r="D261" s="507"/>
      <c r="E261" s="507"/>
      <c r="F261" s="503"/>
      <c r="G261" s="505"/>
      <c r="H261" s="506"/>
      <c r="I261" s="507"/>
      <c r="J261" s="507"/>
      <c r="K261" s="503"/>
      <c r="L261" s="505" t="s">
        <v>39</v>
      </c>
      <c r="M261" s="506"/>
      <c r="N261" s="507">
        <v>2.19</v>
      </c>
      <c r="O261" s="508">
        <v>105494.5803237858</v>
      </c>
      <c r="P261" s="503"/>
      <c r="Q261" s="505"/>
      <c r="R261" s="506"/>
      <c r="S261" s="507"/>
      <c r="T261" s="507"/>
      <c r="U261" s="503"/>
      <c r="V261" s="505"/>
      <c r="W261" s="506"/>
      <c r="X261" s="507"/>
      <c r="Y261" s="507"/>
      <c r="Z261" s="503"/>
      <c r="AA261" s="505"/>
      <c r="AB261" s="506"/>
      <c r="AC261" s="507"/>
      <c r="AD261" s="507"/>
      <c r="AF261" s="505"/>
      <c r="AG261" s="506"/>
      <c r="AH261" s="507"/>
      <c r="AI261" s="507"/>
      <c r="AJ261" s="503"/>
      <c r="AK261" s="505"/>
      <c r="AL261" s="506"/>
      <c r="AM261" s="507"/>
      <c r="AN261" s="507"/>
    </row>
    <row r="262" spans="1:40" s="301" customFormat="1" ht="12.75">
      <c r="A262" s="519"/>
      <c r="B262" s="369"/>
      <c r="C262" s="370"/>
      <c r="D262" s="375"/>
      <c r="E262" s="371"/>
      <c r="F262" s="106"/>
      <c r="G262" s="369"/>
      <c r="H262" s="370"/>
      <c r="I262" s="375"/>
      <c r="J262" s="371"/>
      <c r="K262" s="106"/>
      <c r="L262" s="369"/>
      <c r="M262" s="370"/>
      <c r="N262" s="375"/>
      <c r="O262" s="371"/>
      <c r="P262" s="106"/>
      <c r="Q262" s="369"/>
      <c r="R262" s="370"/>
      <c r="S262" s="375"/>
      <c r="T262" s="371"/>
      <c r="U262" s="106"/>
      <c r="V262" s="369"/>
      <c r="W262" s="370"/>
      <c r="X262" s="375"/>
      <c r="Y262" s="371"/>
      <c r="Z262" s="106"/>
      <c r="AA262" s="369"/>
      <c r="AB262" s="370"/>
      <c r="AC262" s="375"/>
      <c r="AD262" s="371"/>
      <c r="AF262" s="369"/>
      <c r="AG262" s="370"/>
      <c r="AH262" s="375"/>
      <c r="AI262" s="371"/>
      <c r="AJ262" s="106"/>
      <c r="AK262" s="369"/>
      <c r="AL262" s="370"/>
      <c r="AM262" s="375"/>
      <c r="AN262" s="371"/>
    </row>
    <row r="263" spans="1:40" s="301" customFormat="1" ht="12.75">
      <c r="A263" s="519"/>
      <c r="B263" s="402" t="s">
        <v>381</v>
      </c>
      <c r="C263" s="383"/>
      <c r="D263" s="403">
        <f>SUMPRODUCT(D260:D261,E260:E261)</f>
        <v>0</v>
      </c>
      <c r="G263" s="402" t="s">
        <v>381</v>
      </c>
      <c r="H263" s="383"/>
      <c r="I263" s="403">
        <f>SUMPRODUCT(I260:I261,J260:J261)</f>
        <v>210680.63999999998</v>
      </c>
      <c r="L263" s="402" t="s">
        <v>381</v>
      </c>
      <c r="M263" s="383"/>
      <c r="N263" s="403">
        <f>SUMPRODUCT(N260:N261,O260:O261)</f>
        <v>477025.56</v>
      </c>
      <c r="Q263" s="402" t="s">
        <v>381</v>
      </c>
      <c r="R263" s="383"/>
      <c r="S263" s="403">
        <f>SUMPRODUCT(S260:S261,T260:T261)</f>
        <v>8504.98</v>
      </c>
      <c r="V263" s="402" t="s">
        <v>381</v>
      </c>
      <c r="W263" s="383"/>
      <c r="X263" s="403">
        <f>SUMPRODUCT(X260:X261,Y260:Y261)</f>
        <v>1149230.6960217138</v>
      </c>
      <c r="AA263" s="402" t="s">
        <v>381</v>
      </c>
      <c r="AB263" s="383"/>
      <c r="AC263" s="403">
        <f>SUMPRODUCT(AC260:AC261,AD260:AD261)</f>
        <v>76588.6</v>
      </c>
      <c r="AF263" s="402" t="s">
        <v>381</v>
      </c>
      <c r="AG263" s="383"/>
      <c r="AH263" s="403">
        <f>SUMPRODUCT(AH260:AH261,AI260:AI261)</f>
        <v>615045.5585681093</v>
      </c>
      <c r="AK263" s="402" t="s">
        <v>381</v>
      </c>
      <c r="AL263" s="383"/>
      <c r="AM263" s="403">
        <f>SUMPRODUCT(AM260:AM261,AN260:AN261)</f>
        <v>8901</v>
      </c>
      <c r="AN263" s="404"/>
    </row>
    <row r="264" ht="12.75">
      <c r="AK264" s="392"/>
    </row>
    <row r="265" ht="12.75">
      <c r="AK265" s="392"/>
    </row>
    <row r="266" spans="2:37" s="301" customFormat="1" ht="12.75">
      <c r="B266" s="103" t="s">
        <v>139</v>
      </c>
      <c r="G266" s="103" t="s">
        <v>58</v>
      </c>
      <c r="L266" s="103" t="s">
        <v>141</v>
      </c>
      <c r="Q266" s="103" t="s">
        <v>388</v>
      </c>
      <c r="V266" s="103" t="s">
        <v>142</v>
      </c>
      <c r="AA266" s="103" t="s">
        <v>143</v>
      </c>
      <c r="AF266" s="103" t="s">
        <v>140</v>
      </c>
      <c r="AK266" s="103" t="s">
        <v>59</v>
      </c>
    </row>
    <row r="267" spans="2:40" s="301" customFormat="1" ht="12.75">
      <c r="B267" s="382"/>
      <c r="C267" s="383"/>
      <c r="D267" s="104" t="s">
        <v>346</v>
      </c>
      <c r="E267" s="105" t="s">
        <v>347</v>
      </c>
      <c r="G267" s="382"/>
      <c r="H267" s="383"/>
      <c r="I267" s="104" t="s">
        <v>346</v>
      </c>
      <c r="J267" s="105" t="s">
        <v>347</v>
      </c>
      <c r="L267" s="382"/>
      <c r="M267" s="383"/>
      <c r="N267" s="104" t="s">
        <v>346</v>
      </c>
      <c r="O267" s="105" t="s">
        <v>347</v>
      </c>
      <c r="Q267" s="382"/>
      <c r="R267" s="383"/>
      <c r="S267" s="104" t="s">
        <v>346</v>
      </c>
      <c r="T267" s="105" t="s">
        <v>347</v>
      </c>
      <c r="V267" s="382"/>
      <c r="W267" s="383"/>
      <c r="X267" s="104" t="s">
        <v>346</v>
      </c>
      <c r="Y267" s="105" t="s">
        <v>347</v>
      </c>
      <c r="AA267" s="382"/>
      <c r="AB267" s="383"/>
      <c r="AC267" s="104" t="s">
        <v>346</v>
      </c>
      <c r="AD267" s="105" t="s">
        <v>347</v>
      </c>
      <c r="AF267" s="382"/>
      <c r="AG267" s="383"/>
      <c r="AH267" s="104" t="s">
        <v>346</v>
      </c>
      <c r="AI267" s="105" t="s">
        <v>347</v>
      </c>
      <c r="AK267" s="382"/>
      <c r="AL267" s="383"/>
      <c r="AM267" s="104" t="s">
        <v>346</v>
      </c>
      <c r="AN267" s="105" t="s">
        <v>347</v>
      </c>
    </row>
    <row r="268" spans="2:40" s="301" customFormat="1" ht="12.75">
      <c r="B268" s="509" t="s">
        <v>348</v>
      </c>
      <c r="C268" s="510"/>
      <c r="D268" s="327">
        <f>D250</f>
        <v>5.96</v>
      </c>
      <c r="E268" s="406">
        <f>E250</f>
        <v>22611</v>
      </c>
      <c r="F268" s="200"/>
      <c r="G268" s="509" t="s">
        <v>348</v>
      </c>
      <c r="H268" s="510"/>
      <c r="I268" s="327">
        <f>I250</f>
        <v>1.92</v>
      </c>
      <c r="J268" s="406">
        <f>J250</f>
        <v>84946</v>
      </c>
      <c r="K268" s="200"/>
      <c r="L268" s="509" t="s">
        <v>348</v>
      </c>
      <c r="M268" s="510"/>
      <c r="N268" s="327">
        <f>N250</f>
        <v>3.51</v>
      </c>
      <c r="O268" s="406">
        <f>O250</f>
        <v>1062638.4827764828</v>
      </c>
      <c r="P268" s="200"/>
      <c r="Q268" s="509" t="s">
        <v>348</v>
      </c>
      <c r="R268" s="510"/>
      <c r="S268" s="327">
        <f>S250</f>
        <v>6.54</v>
      </c>
      <c r="T268" s="406">
        <f>T250</f>
        <v>44297.611249095964</v>
      </c>
      <c r="U268" s="200"/>
      <c r="V268" s="509" t="s">
        <v>348</v>
      </c>
      <c r="W268" s="510"/>
      <c r="X268" s="327">
        <f>X249</f>
        <v>8.4</v>
      </c>
      <c r="Y268" s="406">
        <f>Y249</f>
        <v>772155.8848441471</v>
      </c>
      <c r="Z268" s="200"/>
      <c r="AA268" s="509" t="s">
        <v>348</v>
      </c>
      <c r="AB268" s="510"/>
      <c r="AC268" s="327">
        <f>AC250</f>
        <v>12.64</v>
      </c>
      <c r="AD268" s="406">
        <f>AD250</f>
        <v>18103</v>
      </c>
      <c r="AF268" s="509" t="s">
        <v>348</v>
      </c>
      <c r="AG268" s="510"/>
      <c r="AH268" s="327">
        <f aca="true" t="shared" si="24" ref="AH268:AI271">AH239</f>
        <v>6.84</v>
      </c>
      <c r="AI268" s="406">
        <f t="shared" si="24"/>
        <v>562227.8859649124</v>
      </c>
      <c r="AJ268" s="200"/>
      <c r="AK268" s="509" t="s">
        <v>348</v>
      </c>
      <c r="AL268" s="510"/>
      <c r="AM268" s="327">
        <f>AM255</f>
        <v>2.61</v>
      </c>
      <c r="AN268" s="406">
        <f>AN255</f>
        <v>24409.2761343099</v>
      </c>
    </row>
    <row r="269" spans="2:40" s="301" customFormat="1" ht="12.75">
      <c r="B269" s="509" t="s">
        <v>349</v>
      </c>
      <c r="C269" s="510"/>
      <c r="D269" s="342">
        <f>SUMPRODUCT(D248:D249,E248:E249)/SUM(E248:E249)</f>
        <v>17.05</v>
      </c>
      <c r="E269" s="407">
        <f>SUM(E248:E249)</f>
        <v>50364</v>
      </c>
      <c r="F269" s="200"/>
      <c r="G269" s="509" t="s">
        <v>349</v>
      </c>
      <c r="H269" s="510"/>
      <c r="I269" s="342">
        <f>SUMPRODUCT(I248:I249,J248:J249)/SUM(J248:J249)</f>
        <v>18.81</v>
      </c>
      <c r="J269" s="407">
        <f>SUM(J248:J249)</f>
        <v>195378.583499812</v>
      </c>
      <c r="K269" s="200"/>
      <c r="L269" s="509" t="s">
        <v>349</v>
      </c>
      <c r="M269" s="510"/>
      <c r="N269" s="342">
        <f>SUMPRODUCT(N248:N249,O248:O249)/SUM(O248:O249)</f>
        <v>28.6</v>
      </c>
      <c r="O269" s="407">
        <f>SUM(O248:O249)</f>
        <v>2407244.50042371</v>
      </c>
      <c r="P269" s="200"/>
      <c r="Q269" s="509" t="s">
        <v>349</v>
      </c>
      <c r="R269" s="510"/>
      <c r="S269" s="342">
        <f>SUMPRODUCT(S248:S249,T248:T249)/SUM(T248:T249)</f>
        <v>13.83</v>
      </c>
      <c r="T269" s="407">
        <f>SUM(T248:T249)</f>
        <v>99272.0752223584</v>
      </c>
      <c r="U269" s="200"/>
      <c r="V269" s="509" t="s">
        <v>349</v>
      </c>
      <c r="W269" s="510"/>
      <c r="X269" s="342">
        <f>X239</f>
        <v>16.44</v>
      </c>
      <c r="Y269" s="407">
        <f>Y239</f>
        <v>2711550.16533849</v>
      </c>
      <c r="Z269" s="200"/>
      <c r="AA269" s="509" t="s">
        <v>349</v>
      </c>
      <c r="AB269" s="510"/>
      <c r="AC269" s="342">
        <f>SUMPRODUCT(AC248:AC249,AD248:AD249)/SUM(AD248:AD249)</f>
        <v>25.56</v>
      </c>
      <c r="AD269" s="407">
        <f>SUM(AD248:AD249)</f>
        <v>29704</v>
      </c>
      <c r="AF269" s="509" t="s">
        <v>349</v>
      </c>
      <c r="AG269" s="510"/>
      <c r="AH269" s="342">
        <f t="shared" si="24"/>
        <v>17.76</v>
      </c>
      <c r="AI269" s="407">
        <f t="shared" si="24"/>
        <v>1838374.64358108</v>
      </c>
      <c r="AJ269" s="200"/>
      <c r="AK269" s="509" t="s">
        <v>349</v>
      </c>
      <c r="AL269" s="510"/>
      <c r="AM269" s="342">
        <f>AM254</f>
        <v>13.75</v>
      </c>
      <c r="AN269" s="407">
        <f>AN254</f>
        <v>48234.725703994</v>
      </c>
    </row>
    <row r="270" spans="2:40" s="301" customFormat="1" ht="12.75">
      <c r="B270" s="509" t="s">
        <v>350</v>
      </c>
      <c r="C270" s="510"/>
      <c r="D270" s="352">
        <f>SUMPRODUCT(D246:D247,E246:E247)/SUM(E246:E247)</f>
        <v>17.05</v>
      </c>
      <c r="E270" s="408">
        <f>SUM(E246:E247)</f>
        <v>1589</v>
      </c>
      <c r="F270" s="200"/>
      <c r="G270" s="509" t="s">
        <v>350</v>
      </c>
      <c r="H270" s="510"/>
      <c r="I270" s="352">
        <f>SUMPRODUCT(I246:I247,J246:J247)/SUM(J246:J247)</f>
        <v>30.93</v>
      </c>
      <c r="J270" s="408">
        <f>SUM(J246:J247)</f>
        <v>7152.08316685507</v>
      </c>
      <c r="K270" s="200"/>
      <c r="L270" s="509" t="s">
        <v>350</v>
      </c>
      <c r="M270" s="510"/>
      <c r="N270" s="352">
        <f>SUMPRODUCT(N246:N247,O246:O247)/SUM(O246:O247)</f>
        <v>32.6</v>
      </c>
      <c r="O270" s="408">
        <f>SUM(O246:O247)</f>
        <v>121967.800299048</v>
      </c>
      <c r="P270" s="200"/>
      <c r="Q270" s="509" t="s">
        <v>350</v>
      </c>
      <c r="R270" s="510"/>
      <c r="S270" s="352">
        <f>SUMPRODUCT(S246:S247,T246:T247)/SUM(T246:T247)</f>
        <v>13.83</v>
      </c>
      <c r="T270" s="408">
        <f>SUM(T246:T247)</f>
        <v>3375.00810764053</v>
      </c>
      <c r="U270" s="200"/>
      <c r="V270" s="509" t="s">
        <v>350</v>
      </c>
      <c r="W270" s="510"/>
      <c r="X270" s="352">
        <f>SUMPRODUCT(X240:X241,Y240:Y241)/SUM(Y240:Y241)</f>
        <v>27.27404122615823</v>
      </c>
      <c r="Y270" s="408">
        <f>SUM(Y240:Y241)</f>
        <v>111893.63377086111</v>
      </c>
      <c r="Z270" s="200"/>
      <c r="AA270" s="509" t="s">
        <v>350</v>
      </c>
      <c r="AB270" s="510"/>
      <c r="AC270" s="352">
        <f>SUMPRODUCT(AC246:AC247,AD246:AD247)/SUM(AD246:AD247)</f>
        <v>41.45</v>
      </c>
      <c r="AD270" s="408">
        <f>SUM(AD246:AD247)</f>
        <v>1178</v>
      </c>
      <c r="AF270" s="509" t="s">
        <v>350</v>
      </c>
      <c r="AG270" s="510"/>
      <c r="AH270" s="352">
        <f t="shared" si="24"/>
        <v>36.24</v>
      </c>
      <c r="AI270" s="408">
        <f t="shared" si="24"/>
        <v>79147.4470198675</v>
      </c>
      <c r="AJ270" s="200"/>
      <c r="AK270" s="509" t="s">
        <v>350</v>
      </c>
      <c r="AL270" s="510"/>
      <c r="AM270" s="352">
        <f>SUMPRODUCT(AM250:AM253,AN250:AN253)/SUM(AN250:AN253)</f>
        <v>36.35821716914948</v>
      </c>
      <c r="AN270" s="408">
        <f>SUM(AN250:AN253)</f>
        <v>3665.774202451237</v>
      </c>
    </row>
    <row r="271" spans="2:40" s="301" customFormat="1" ht="12.75">
      <c r="B271" s="509" t="s">
        <v>341</v>
      </c>
      <c r="C271" s="510"/>
      <c r="D271" s="361">
        <f>SUMPRODUCT(D244:D245,E244:E245)/SUM(E244:E245)</f>
        <v>178.360719844358</v>
      </c>
      <c r="E271" s="409">
        <f>SUM(E244:E245)</f>
        <v>514</v>
      </c>
      <c r="F271" s="200"/>
      <c r="G271" s="509" t="s">
        <v>341</v>
      </c>
      <c r="H271" s="510"/>
      <c r="I271" s="361">
        <f>SUMPRODUCT(I244:I245,J244:J245)/SUM(J244:J245)</f>
        <v>110.13244250741838</v>
      </c>
      <c r="J271" s="409">
        <f>SUM(J244:J245)</f>
        <v>1797.3333333333333</v>
      </c>
      <c r="K271" s="200"/>
      <c r="L271" s="509" t="s">
        <v>341</v>
      </c>
      <c r="M271" s="510"/>
      <c r="N271" s="361">
        <f>SUMPRODUCT(N244:N245,O244:O245)/SUM(O244:O245)</f>
        <v>155</v>
      </c>
      <c r="O271" s="409">
        <f>SUM(O244:O245)</f>
        <v>12070.145313782992</v>
      </c>
      <c r="P271" s="200"/>
      <c r="Q271" s="509" t="s">
        <v>341</v>
      </c>
      <c r="R271" s="510"/>
      <c r="S271" s="361">
        <f>SUMPRODUCT(S244:S245,T244:T245)/SUM(T244:T245)</f>
        <v>212.43</v>
      </c>
      <c r="T271" s="409">
        <f>SUM(T244:T245)</f>
        <v>657.6231129856694</v>
      </c>
      <c r="U271" s="200"/>
      <c r="V271" s="509" t="s">
        <v>341</v>
      </c>
      <c r="W271" s="510"/>
      <c r="X271" s="361">
        <f>SUMPRODUCT(X242:X244,Y242:Y244)/SUM(Y242:Y244)</f>
        <v>287.6047766582135</v>
      </c>
      <c r="Y271" s="409">
        <f>SUM(Y242:Y244)</f>
        <v>23529.796768586602</v>
      </c>
      <c r="Z271" s="200"/>
      <c r="AA271" s="509" t="s">
        <v>341</v>
      </c>
      <c r="AB271" s="510"/>
      <c r="AC271" s="361">
        <f>SUMPRODUCT(AC244:AC245,AD244:AD245)/SUM(AD244:AD245)</f>
        <v>115.4247852904435</v>
      </c>
      <c r="AD271" s="409">
        <f>SUM(AD244:AD245)</f>
        <v>256.15999999999997</v>
      </c>
      <c r="AF271" s="509" t="s">
        <v>341</v>
      </c>
      <c r="AG271" s="510"/>
      <c r="AH271" s="361">
        <f t="shared" si="24"/>
        <v>51.6</v>
      </c>
      <c r="AI271" s="409">
        <f t="shared" si="24"/>
        <v>14040.836240310078</v>
      </c>
      <c r="AJ271" s="200"/>
      <c r="AK271" s="509" t="s">
        <v>341</v>
      </c>
      <c r="AL271" s="510"/>
      <c r="AM271" s="361">
        <f>SUMPRODUCT(AM243:AM249,AN243:AN249)/SUM(AN243:AN249)</f>
        <v>175.91007784851618</v>
      </c>
      <c r="AN271" s="409">
        <f>SUM(AN243:AN249)</f>
        <v>991.3631659218871</v>
      </c>
    </row>
    <row r="272" spans="2:40" s="301" customFormat="1" ht="12.75">
      <c r="B272" s="509" t="s">
        <v>343</v>
      </c>
      <c r="C272" s="510"/>
      <c r="D272" s="380">
        <f>D243</f>
        <v>467.58</v>
      </c>
      <c r="E272" s="410">
        <f>E243</f>
        <v>30</v>
      </c>
      <c r="F272" s="200"/>
      <c r="G272" s="509" t="s">
        <v>343</v>
      </c>
      <c r="H272" s="510"/>
      <c r="I272" s="380">
        <f>I243</f>
        <v>894.27</v>
      </c>
      <c r="J272" s="410">
        <f>J243</f>
        <v>400.75000000000006</v>
      </c>
      <c r="K272" s="200"/>
      <c r="L272" s="509" t="s">
        <v>343</v>
      </c>
      <c r="M272" s="510"/>
      <c r="N272" s="380">
        <f>N243</f>
        <v>616</v>
      </c>
      <c r="O272" s="410">
        <f>O243</f>
        <v>14023.152449822903</v>
      </c>
      <c r="P272" s="200"/>
      <c r="Q272" s="509" t="s">
        <v>343</v>
      </c>
      <c r="R272" s="510"/>
      <c r="S272" s="380">
        <f>S243</f>
        <v>610.76</v>
      </c>
      <c r="T272" s="410">
        <f>T243</f>
        <v>583.941782793161</v>
      </c>
      <c r="U272" s="200"/>
      <c r="V272" s="509" t="s">
        <v>343</v>
      </c>
      <c r="W272" s="510"/>
      <c r="X272" s="380">
        <f>SUMPRODUCT(X245:X246,Y245:Y246)/SUM(Y245:Y246)</f>
        <v>1449.9548672897809</v>
      </c>
      <c r="Y272" s="410">
        <f>SUM(Y245:Y246)</f>
        <v>2353.36634722222</v>
      </c>
      <c r="Z272" s="200"/>
      <c r="AA272" s="509" t="s">
        <v>343</v>
      </c>
      <c r="AB272" s="510"/>
      <c r="AC272" s="380">
        <f>SUMPRODUCT(AC242:AC243,AD242:AD243)/SUM(AD242:AD243)</f>
        <v>595.6123865456486</v>
      </c>
      <c r="AD272" s="410">
        <f>SUM(AD242:AD243)</f>
        <v>18.73</v>
      </c>
      <c r="AF272" s="509" t="s">
        <v>343</v>
      </c>
      <c r="AG272" s="510"/>
      <c r="AH272" s="380">
        <f>SUMPRODUCT(AH243:AH244,AI243:AI244)/SUM(AI243:AI244)</f>
        <v>468.8375570307458</v>
      </c>
      <c r="AI272" s="410">
        <f>SUM(AI243:AI244)</f>
        <v>4699.14005702082</v>
      </c>
      <c r="AJ272" s="200"/>
      <c r="AK272" s="509" t="s">
        <v>343</v>
      </c>
      <c r="AL272" s="510"/>
      <c r="AM272" s="380">
        <f>SUMPRODUCT(AM240:AM242,AN240:AN242)/SUM(AN240:AN242)</f>
        <v>1333.5055782810937</v>
      </c>
      <c r="AN272" s="410">
        <f>SUM(AN240:AN242)</f>
        <v>354.91364985360326</v>
      </c>
    </row>
    <row r="273" spans="2:40" s="301" customFormat="1" ht="12.75">
      <c r="B273" s="511" t="s">
        <v>345</v>
      </c>
      <c r="C273" s="512"/>
      <c r="D273" s="513"/>
      <c r="E273" s="514"/>
      <c r="F273" s="200"/>
      <c r="G273" s="511" t="s">
        <v>345</v>
      </c>
      <c r="H273" s="512"/>
      <c r="I273" s="513">
        <f>I241</f>
        <v>5958.84</v>
      </c>
      <c r="J273" s="514">
        <f>J241</f>
        <v>10</v>
      </c>
      <c r="K273" s="200"/>
      <c r="L273" s="511" t="s">
        <v>345</v>
      </c>
      <c r="M273" s="512"/>
      <c r="N273" s="513">
        <f>SUMPRODUCT(N241:N242,O241:O242)/SUM(O241:O242)</f>
        <v>1704.296613774236</v>
      </c>
      <c r="O273" s="514">
        <f>SUM(O241:O242)</f>
        <v>832.5002357337438</v>
      </c>
      <c r="P273" s="200"/>
      <c r="Q273" s="511" t="s">
        <v>345</v>
      </c>
      <c r="R273" s="512"/>
      <c r="S273" s="513">
        <f>SUMPRODUCT(S241:S242,T241:T242)/SUM(T241:T242)</f>
        <v>2586.864950307137</v>
      </c>
      <c r="T273" s="514">
        <f>SUM(T241:T242)</f>
        <v>4.988702183775625</v>
      </c>
      <c r="U273" s="200"/>
      <c r="V273" s="511" t="s">
        <v>345</v>
      </c>
      <c r="W273" s="512"/>
      <c r="X273" s="513">
        <f>SUMPRODUCT(X247:X248,Y247:Y248)/SUM(Y247:Y248)</f>
        <v>7638.437787772909</v>
      </c>
      <c r="Y273" s="514">
        <f>SUM(Y247:Y248)</f>
        <v>192.9894470426389</v>
      </c>
      <c r="Z273" s="200"/>
      <c r="AA273" s="511" t="s">
        <v>345</v>
      </c>
      <c r="AB273" s="512"/>
      <c r="AC273" s="513"/>
      <c r="AD273" s="514"/>
      <c r="AF273" s="511" t="s">
        <v>345</v>
      </c>
      <c r="AG273" s="512"/>
      <c r="AH273" s="513">
        <f>AH245</f>
        <v>6201.6</v>
      </c>
      <c r="AI273" s="514">
        <f>AI245</f>
        <v>155.4660306245226</v>
      </c>
      <c r="AJ273" s="200"/>
      <c r="AK273" s="511" t="s">
        <v>345</v>
      </c>
      <c r="AL273" s="512"/>
      <c r="AM273" s="513">
        <f>AM239</f>
        <v>5222.28</v>
      </c>
      <c r="AN273" s="514">
        <f>AN239</f>
        <v>28.81530098849528</v>
      </c>
    </row>
    <row r="274" spans="2:40" s="318" customFormat="1" ht="12.75">
      <c r="B274" s="515" t="s">
        <v>381</v>
      </c>
      <c r="C274" s="516"/>
      <c r="D274" s="413">
        <f>SUMPRODUCT(D268:D273,E268:E273)</f>
        <v>1126265.0199999998</v>
      </c>
      <c r="E274" s="414"/>
      <c r="F274" s="195"/>
      <c r="G274" s="515" t="s">
        <v>381</v>
      </c>
      <c r="H274" s="516"/>
      <c r="I274" s="413">
        <f>SUMPRODUCT(I268:I273,J268:J273)</f>
        <v>4675293.220482291</v>
      </c>
      <c r="J274" s="414"/>
      <c r="K274" s="195"/>
      <c r="L274" s="515" t="s">
        <v>381</v>
      </c>
      <c r="M274" s="516"/>
      <c r="N274" s="413">
        <f>SUMPRODUCT(N268:N273,O268:O273)</f>
        <v>88481165.84186707</v>
      </c>
      <c r="O274" s="414"/>
      <c r="P274" s="195"/>
      <c r="Q274" s="515" t="s">
        <v>381</v>
      </c>
      <c r="R274" s="516"/>
      <c r="S274" s="413">
        <f>SUMPRODUCT(S268:S273,T268:T273)</f>
        <v>2218567.7999999993</v>
      </c>
      <c r="T274" s="414"/>
      <c r="U274" s="195"/>
      <c r="V274" s="515" t="s">
        <v>381</v>
      </c>
      <c r="W274" s="516"/>
      <c r="X274" s="413">
        <f>SUMPRODUCT(X268:X273,Y268:Y273)</f>
        <v>65769480.55031195</v>
      </c>
      <c r="Y274" s="414"/>
      <c r="Z274" s="195"/>
      <c r="AA274" s="515" t="s">
        <v>381</v>
      </c>
      <c r="AB274" s="516"/>
      <c r="AC274" s="413">
        <f>SUMPRODUCT(AC268:AC273,AD268:AD273)</f>
        <v>1077607.293</v>
      </c>
      <c r="AD274" s="414"/>
      <c r="AF274" s="515" t="s">
        <v>381</v>
      </c>
      <c r="AG274" s="516"/>
      <c r="AH274" s="413">
        <f>SUMPRODUCT(AH268:AH273,AI268:AI273)</f>
        <v>43255254.51999997</v>
      </c>
      <c r="AI274" s="414"/>
      <c r="AJ274" s="195"/>
      <c r="AK274" s="515" t="s">
        <v>381</v>
      </c>
      <c r="AL274" s="516"/>
      <c r="AM274" s="413">
        <f>SUMPRODUCT(AM268:AM273,AN268:AN273)</f>
        <v>1658368.3773138067</v>
      </c>
      <c r="AN274" s="414"/>
    </row>
    <row r="275" spans="1:40" s="301" customFormat="1" ht="12.75">
      <c r="A275" s="318"/>
      <c r="B275" s="498"/>
      <c r="C275" s="169"/>
      <c r="D275" s="499"/>
      <c r="G275" s="498"/>
      <c r="H275" s="169"/>
      <c r="I275" s="499"/>
      <c r="L275" s="498"/>
      <c r="M275" s="169"/>
      <c r="N275" s="499"/>
      <c r="Q275" s="498"/>
      <c r="R275" s="169"/>
      <c r="S275" s="499"/>
      <c r="V275" s="498"/>
      <c r="W275" s="169"/>
      <c r="X275" s="499"/>
      <c r="AA275" s="498"/>
      <c r="AB275" s="169"/>
      <c r="AC275" s="499"/>
      <c r="AF275" s="498"/>
      <c r="AG275" s="169"/>
      <c r="AH275" s="499"/>
      <c r="AK275" s="498"/>
      <c r="AL275" s="169"/>
      <c r="AM275" s="499"/>
      <c r="AN275" s="404"/>
    </row>
    <row r="276" spans="1:40" s="301" customFormat="1" ht="12.75">
      <c r="A276" s="189"/>
      <c r="B276" s="320" t="s">
        <v>37</v>
      </c>
      <c r="C276" s="321"/>
      <c r="D276" s="320" t="s">
        <v>346</v>
      </c>
      <c r="E276" s="500" t="s">
        <v>347</v>
      </c>
      <c r="F276" s="106"/>
      <c r="G276" s="320" t="s">
        <v>37</v>
      </c>
      <c r="H276" s="321"/>
      <c r="I276" s="320" t="s">
        <v>346</v>
      </c>
      <c r="J276" s="500" t="s">
        <v>347</v>
      </c>
      <c r="K276" s="106"/>
      <c r="L276" s="320" t="s">
        <v>37</v>
      </c>
      <c r="M276" s="321"/>
      <c r="N276" s="320" t="s">
        <v>346</v>
      </c>
      <c r="O276" s="500" t="s">
        <v>347</v>
      </c>
      <c r="P276" s="106"/>
      <c r="Q276" s="320" t="s">
        <v>37</v>
      </c>
      <c r="R276" s="321"/>
      <c r="S276" s="320" t="s">
        <v>346</v>
      </c>
      <c r="T276" s="500" t="s">
        <v>347</v>
      </c>
      <c r="U276" s="106"/>
      <c r="V276" s="320" t="s">
        <v>37</v>
      </c>
      <c r="W276" s="321"/>
      <c r="X276" s="320" t="s">
        <v>346</v>
      </c>
      <c r="Y276" s="500" t="s">
        <v>347</v>
      </c>
      <c r="Z276" s="106"/>
      <c r="AA276" s="320" t="s">
        <v>37</v>
      </c>
      <c r="AB276" s="321"/>
      <c r="AC276" s="320" t="s">
        <v>346</v>
      </c>
      <c r="AD276" s="500" t="s">
        <v>347</v>
      </c>
      <c r="AF276" s="320" t="s">
        <v>37</v>
      </c>
      <c r="AG276" s="321"/>
      <c r="AH276" s="320" t="s">
        <v>346</v>
      </c>
      <c r="AI276" s="500" t="s">
        <v>347</v>
      </c>
      <c r="AJ276" s="106"/>
      <c r="AK276" s="320" t="s">
        <v>37</v>
      </c>
      <c r="AL276" s="321"/>
      <c r="AM276" s="320" t="s">
        <v>346</v>
      </c>
      <c r="AN276" s="500" t="s">
        <v>347</v>
      </c>
    </row>
    <row r="277" spans="1:40" s="301" customFormat="1" ht="12.75">
      <c r="A277" s="189"/>
      <c r="B277" s="325" t="s">
        <v>36</v>
      </c>
      <c r="C277" s="501"/>
      <c r="D277" s="502"/>
      <c r="E277" s="502"/>
      <c r="F277" s="503"/>
      <c r="G277" s="325" t="s">
        <v>36</v>
      </c>
      <c r="H277" s="501"/>
      <c r="I277" s="502">
        <f>SUMPRODUCT(I260:I261,J260:J261)/SUM(J260:J261)</f>
        <v>1.44</v>
      </c>
      <c r="J277" s="502">
        <f>SUM(J260:J261)</f>
        <v>146306</v>
      </c>
      <c r="K277" s="503"/>
      <c r="L277" s="325" t="s">
        <v>36</v>
      </c>
      <c r="M277" s="501"/>
      <c r="N277" s="517">
        <f>SUMPRODUCT(N260:N261,O260:O261)/SUM(O260:O261)</f>
        <v>2.3751464480819537</v>
      </c>
      <c r="O277" s="504">
        <f>SUM(O260:O261)</f>
        <v>200840.48307220018</v>
      </c>
      <c r="P277" s="503"/>
      <c r="Q277" s="325" t="s">
        <v>36</v>
      </c>
      <c r="R277" s="501"/>
      <c r="S277" s="517">
        <f>SUMPRODUCT(S260:S261,T260:T261)/SUM(T260:T261)</f>
        <v>3</v>
      </c>
      <c r="T277" s="504">
        <f>SUM(T260:T261)</f>
        <v>2834.9933333333333</v>
      </c>
      <c r="U277" s="503"/>
      <c r="V277" s="325" t="s">
        <v>36</v>
      </c>
      <c r="W277" s="501"/>
      <c r="X277" s="517">
        <f>SUMPRODUCT(X260:X261,Y260:Y261)/SUM(Y260:Y261)</f>
        <v>1.5</v>
      </c>
      <c r="Y277" s="504">
        <f>SUM(Y260:Y261)</f>
        <v>766153.7973478092</v>
      </c>
      <c r="Z277" s="503"/>
      <c r="AA277" s="325" t="s">
        <v>36</v>
      </c>
      <c r="AB277" s="501"/>
      <c r="AC277" s="517">
        <f>SUMPRODUCT(AC260:AC261,AD260:AD261)/SUM(AD260:AD261)</f>
        <v>13.64</v>
      </c>
      <c r="AD277" s="504">
        <f>SUM(AD260:AD261)</f>
        <v>5615</v>
      </c>
      <c r="AF277" s="325" t="s">
        <v>36</v>
      </c>
      <c r="AG277" s="501"/>
      <c r="AH277" s="502">
        <f>SUMPRODUCT(AH260:AH261,AI260:AI261)/SUM(AI260:AI261)</f>
        <v>5.85</v>
      </c>
      <c r="AI277" s="504">
        <f>SUM(AI260:AI261)</f>
        <v>105135.99291762552</v>
      </c>
      <c r="AJ277" s="503"/>
      <c r="AK277" s="325" t="s">
        <v>36</v>
      </c>
      <c r="AL277" s="501"/>
      <c r="AM277" s="517">
        <f>SUMPRODUCT(AM260:AM261,AN260:AN261)/SUM(AN260:AN261)</f>
        <v>3.87</v>
      </c>
      <c r="AN277" s="504">
        <f>SUM(AN260:AN261)</f>
        <v>2300</v>
      </c>
    </row>
    <row r="278" spans="1:40" s="301" customFormat="1" ht="12.75">
      <c r="A278" s="189"/>
      <c r="B278" s="369"/>
      <c r="C278" s="370"/>
      <c r="D278" s="375"/>
      <c r="E278" s="371"/>
      <c r="F278" s="106"/>
      <c r="G278" s="369"/>
      <c r="H278" s="370"/>
      <c r="I278" s="375"/>
      <c r="J278" s="371"/>
      <c r="K278" s="106"/>
      <c r="L278" s="369"/>
      <c r="M278" s="370"/>
      <c r="N278" s="375"/>
      <c r="O278" s="371"/>
      <c r="P278" s="106"/>
      <c r="Q278" s="369"/>
      <c r="R278" s="370"/>
      <c r="S278" s="375"/>
      <c r="T278" s="371"/>
      <c r="U278" s="106"/>
      <c r="V278" s="369"/>
      <c r="W278" s="370"/>
      <c r="X278" s="375"/>
      <c r="Y278" s="371"/>
      <c r="Z278" s="106"/>
      <c r="AA278" s="369"/>
      <c r="AB278" s="370"/>
      <c r="AC278" s="375"/>
      <c r="AD278" s="371"/>
      <c r="AF278" s="369"/>
      <c r="AG278" s="370"/>
      <c r="AH278" s="375"/>
      <c r="AI278" s="371"/>
      <c r="AJ278" s="106"/>
      <c r="AK278" s="369"/>
      <c r="AL278" s="370"/>
      <c r="AM278" s="375"/>
      <c r="AN278" s="371"/>
    </row>
    <row r="279" spans="1:40" s="301" customFormat="1" ht="12.75">
      <c r="A279" s="189"/>
      <c r="B279" s="402" t="s">
        <v>381</v>
      </c>
      <c r="C279" s="383"/>
      <c r="D279" s="403">
        <f>D277*E277</f>
        <v>0</v>
      </c>
      <c r="G279" s="402" t="s">
        <v>381</v>
      </c>
      <c r="H279" s="383"/>
      <c r="I279" s="403">
        <f>I277*J277</f>
        <v>210680.63999999998</v>
      </c>
      <c r="L279" s="402" t="s">
        <v>381</v>
      </c>
      <c r="M279" s="383"/>
      <c r="N279" s="403">
        <f>N277*O277</f>
        <v>477025.56</v>
      </c>
      <c r="Q279" s="402" t="s">
        <v>381</v>
      </c>
      <c r="R279" s="383"/>
      <c r="S279" s="403">
        <f>S277*T277</f>
        <v>8504.98</v>
      </c>
      <c r="V279" s="402" t="s">
        <v>381</v>
      </c>
      <c r="W279" s="383"/>
      <c r="X279" s="403">
        <f>X277*Y277</f>
        <v>1149230.6960217138</v>
      </c>
      <c r="AA279" s="402" t="s">
        <v>381</v>
      </c>
      <c r="AB279" s="383"/>
      <c r="AC279" s="403">
        <f>AC277*AD277</f>
        <v>76588.6</v>
      </c>
      <c r="AF279" s="402" t="s">
        <v>381</v>
      </c>
      <c r="AG279" s="383"/>
      <c r="AH279" s="403">
        <f>AH277*AI277</f>
        <v>615045.5585681093</v>
      </c>
      <c r="AK279" s="402" t="s">
        <v>381</v>
      </c>
      <c r="AL279" s="383"/>
      <c r="AM279" s="403">
        <f>AM277*AN277</f>
        <v>8901</v>
      </c>
      <c r="AN279" s="404"/>
    </row>
    <row r="280" ht="12.75">
      <c r="AK280" s="392"/>
    </row>
    <row r="281" spans="2:45" ht="12.75">
      <c r="B281" s="301"/>
      <c r="C281" s="301"/>
      <c r="D281" s="301"/>
      <c r="E281" s="301"/>
      <c r="F281" s="301"/>
      <c r="G281" s="301"/>
      <c r="H281" s="301"/>
      <c r="I281" s="301"/>
      <c r="J281" s="301"/>
      <c r="K281" s="301"/>
      <c r="L281" s="301"/>
      <c r="M281" s="301"/>
      <c r="N281" s="301"/>
      <c r="O281" s="301"/>
      <c r="P281" s="301"/>
      <c r="AP281" s="301"/>
      <c r="AQ281" s="301"/>
      <c r="AR281" s="301"/>
      <c r="AS281" s="301"/>
    </row>
  </sheetData>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Blad18"/>
  <dimension ref="B2:L80"/>
  <sheetViews>
    <sheetView showGridLines="0" zoomScale="85" zoomScaleNormal="85" workbookViewId="0" topLeftCell="A1">
      <pane xSplit="4" ySplit="2" topLeftCell="E3" activePane="bottomRight" state="frozen"/>
      <selection pane="topLeft" activeCell="C36" sqref="C36"/>
      <selection pane="topRight" activeCell="C36" sqref="C36"/>
      <selection pane="bottomLeft" activeCell="C36" sqref="C36"/>
      <selection pane="bottomRight" activeCell="A1" sqref="A1"/>
    </sheetView>
  </sheetViews>
  <sheetFormatPr defaultColWidth="9.140625" defaultRowHeight="12.75"/>
  <cols>
    <col min="1" max="1" width="2.7109375" style="240" customWidth="1"/>
    <col min="2" max="2" width="64.421875" style="240" customWidth="1"/>
    <col min="3" max="3" width="19.28125" style="240" customWidth="1"/>
    <col min="4" max="4" width="9.57421875" style="240" customWidth="1"/>
    <col min="5" max="10" width="9.7109375" style="240" customWidth="1"/>
    <col min="11" max="11" width="10.7109375" style="240" bestFit="1" customWidth="1"/>
    <col min="12" max="12" width="9.7109375" style="240" customWidth="1"/>
    <col min="13" max="16384" width="9.140625" style="240" customWidth="1"/>
  </cols>
  <sheetData>
    <row r="2" spans="2:12" s="239" customFormat="1" ht="60">
      <c r="B2" s="238" t="s">
        <v>65</v>
      </c>
      <c r="C2" s="238"/>
      <c r="D2" s="238"/>
      <c r="E2" s="4" t="s">
        <v>139</v>
      </c>
      <c r="F2" s="4" t="s">
        <v>58</v>
      </c>
      <c r="G2" s="4" t="s">
        <v>388</v>
      </c>
      <c r="H2" s="4" t="s">
        <v>141</v>
      </c>
      <c r="I2" s="4" t="s">
        <v>142</v>
      </c>
      <c r="J2" s="4" t="s">
        <v>143</v>
      </c>
      <c r="K2" s="4" t="s">
        <v>140</v>
      </c>
      <c r="L2" s="4" t="s">
        <v>59</v>
      </c>
    </row>
    <row r="4" spans="5:12" ht="12.75">
      <c r="E4" s="241"/>
      <c r="F4" s="241"/>
      <c r="G4" s="241"/>
      <c r="H4" s="241"/>
      <c r="I4" s="241"/>
      <c r="J4" s="241"/>
      <c r="K4" s="241"/>
      <c r="L4" s="241"/>
    </row>
    <row r="5" spans="2:12" s="244" customFormat="1" ht="12.75">
      <c r="B5" s="242" t="s">
        <v>86</v>
      </c>
      <c r="C5" s="242"/>
      <c r="D5" s="242"/>
      <c r="E5" s="243"/>
      <c r="F5" s="243"/>
      <c r="G5" s="243"/>
      <c r="H5" s="243"/>
      <c r="I5" s="243"/>
      <c r="J5" s="243"/>
      <c r="K5" s="243"/>
      <c r="L5" s="243"/>
    </row>
    <row r="6" spans="5:12" ht="12.75">
      <c r="E6" s="241"/>
      <c r="F6" s="241"/>
      <c r="G6" s="241"/>
      <c r="H6" s="241"/>
      <c r="I6" s="241"/>
      <c r="J6" s="241"/>
      <c r="K6" s="241"/>
      <c r="L6" s="241"/>
    </row>
    <row r="7" spans="2:12" ht="12.75">
      <c r="B7" s="245" t="s">
        <v>176</v>
      </c>
      <c r="E7" s="241"/>
      <c r="F7" s="241"/>
      <c r="G7" s="241"/>
      <c r="H7" s="241"/>
      <c r="I7" s="241"/>
      <c r="J7" s="241"/>
      <c r="K7" s="241"/>
      <c r="L7" s="241"/>
    </row>
    <row r="8" spans="2:12" ht="12.75">
      <c r="B8" s="73" t="s">
        <v>255</v>
      </c>
      <c r="C8" s="246" t="s">
        <v>87</v>
      </c>
      <c r="E8" s="247">
        <f>Kosten!E17</f>
        <v>1</v>
      </c>
      <c r="F8" s="247">
        <f>Kosten!F17</f>
        <v>0</v>
      </c>
      <c r="G8" s="247">
        <f>Kosten!G17</f>
        <v>0</v>
      </c>
      <c r="H8" s="247">
        <f>Kosten!H17</f>
        <v>1772.8</v>
      </c>
      <c r="I8" s="247">
        <f>Kosten!I17</f>
        <v>0</v>
      </c>
      <c r="J8" s="247">
        <f>Kosten!J17</f>
        <v>0</v>
      </c>
      <c r="K8" s="247">
        <f>Kosten!K17</f>
        <v>20.167</v>
      </c>
      <c r="L8" s="247">
        <f>Kosten!L17</f>
        <v>0</v>
      </c>
    </row>
    <row r="9" spans="2:12" ht="12.75">
      <c r="B9" s="73" t="s">
        <v>171</v>
      </c>
      <c r="C9" s="246" t="s">
        <v>87</v>
      </c>
      <c r="E9" s="247">
        <f>Kosten!E18</f>
        <v>0</v>
      </c>
      <c r="F9" s="247">
        <f>Kosten!F18</f>
        <v>460.239</v>
      </c>
      <c r="G9" s="247">
        <f>Kosten!G18</f>
        <v>0</v>
      </c>
      <c r="H9" s="247">
        <f>Kosten!H18</f>
        <v>0</v>
      </c>
      <c r="I9" s="247">
        <f>Kosten!I18</f>
        <v>12580.818</v>
      </c>
      <c r="J9" s="247">
        <f>Kosten!J18</f>
        <v>0</v>
      </c>
      <c r="K9" s="247">
        <f>Kosten!K18</f>
        <v>14239.941</v>
      </c>
      <c r="L9" s="247">
        <f>Kosten!L18</f>
        <v>0</v>
      </c>
    </row>
    <row r="10" spans="5:12" ht="12.75">
      <c r="E10" s="220"/>
      <c r="F10" s="220"/>
      <c r="G10" s="220"/>
      <c r="H10" s="220"/>
      <c r="I10" s="220"/>
      <c r="J10" s="220"/>
      <c r="K10" s="220"/>
      <c r="L10" s="220"/>
    </row>
    <row r="11" spans="2:12" ht="12.75">
      <c r="B11" s="245" t="s">
        <v>66</v>
      </c>
      <c r="E11" s="220"/>
      <c r="F11" s="220"/>
      <c r="G11" s="220"/>
      <c r="H11" s="220"/>
      <c r="I11" s="220"/>
      <c r="J11" s="220"/>
      <c r="K11" s="220"/>
      <c r="L11" s="220"/>
    </row>
    <row r="12" spans="2:12" ht="12.75">
      <c r="B12" s="240" t="s">
        <v>88</v>
      </c>
      <c r="C12" s="246" t="s">
        <v>87</v>
      </c>
      <c r="E12" s="248">
        <v>3623.101110907262</v>
      </c>
      <c r="F12" s="248"/>
      <c r="G12" s="248"/>
      <c r="H12" s="248"/>
      <c r="I12" s="248"/>
      <c r="J12" s="248">
        <v>7155.897731524152</v>
      </c>
      <c r="K12" s="248"/>
      <c r="L12" s="248"/>
    </row>
    <row r="13" spans="2:12" ht="12.75">
      <c r="B13" s="240" t="s">
        <v>89</v>
      </c>
      <c r="C13" s="246" t="s">
        <v>87</v>
      </c>
      <c r="E13" s="248">
        <v>905.775277726815</v>
      </c>
      <c r="F13" s="248"/>
      <c r="G13" s="248"/>
      <c r="H13" s="248"/>
      <c r="I13" s="248"/>
      <c r="J13" s="248">
        <v>596.324810960346</v>
      </c>
      <c r="K13" s="248"/>
      <c r="L13" s="248"/>
    </row>
    <row r="14" spans="2:12" ht="12.75">
      <c r="B14" s="246" t="s">
        <v>67</v>
      </c>
      <c r="C14" s="246" t="s">
        <v>87</v>
      </c>
      <c r="E14" s="159">
        <f aca="true" t="shared" si="0" ref="E14:L14">WACC2011*E12+E13</f>
        <v>1130.4075466030654</v>
      </c>
      <c r="F14" s="159">
        <f t="shared" si="0"/>
        <v>0</v>
      </c>
      <c r="G14" s="159">
        <f t="shared" si="0"/>
        <v>0</v>
      </c>
      <c r="H14" s="159">
        <f t="shared" si="0"/>
        <v>0</v>
      </c>
      <c r="I14" s="159">
        <f t="shared" si="0"/>
        <v>0</v>
      </c>
      <c r="J14" s="159">
        <f t="shared" si="0"/>
        <v>1039.9904703148434</v>
      </c>
      <c r="K14" s="159">
        <f t="shared" si="0"/>
        <v>0</v>
      </c>
      <c r="L14" s="159">
        <f t="shared" si="0"/>
        <v>0</v>
      </c>
    </row>
    <row r="15" spans="2:12" ht="12.75">
      <c r="B15" s="246"/>
      <c r="C15" s="246"/>
      <c r="E15" s="220"/>
      <c r="F15" s="220"/>
      <c r="G15" s="220"/>
      <c r="H15" s="220"/>
      <c r="I15" s="220"/>
      <c r="J15" s="220"/>
      <c r="K15" s="220"/>
      <c r="L15" s="220"/>
    </row>
    <row r="16" spans="2:12" ht="12.75">
      <c r="B16" s="249" t="s">
        <v>68</v>
      </c>
      <c r="C16" s="246" t="s">
        <v>87</v>
      </c>
      <c r="E16" s="160">
        <f aca="true" t="shared" si="1" ref="E16:L16">E8+E9+E14</f>
        <v>1131.4075466030654</v>
      </c>
      <c r="F16" s="160">
        <f t="shared" si="1"/>
        <v>460.239</v>
      </c>
      <c r="G16" s="160">
        <f t="shared" si="1"/>
        <v>0</v>
      </c>
      <c r="H16" s="160">
        <f t="shared" si="1"/>
        <v>1772.8</v>
      </c>
      <c r="I16" s="160">
        <f t="shared" si="1"/>
        <v>12580.818</v>
      </c>
      <c r="J16" s="160">
        <f t="shared" si="1"/>
        <v>1039.9904703148434</v>
      </c>
      <c r="K16" s="160">
        <f t="shared" si="1"/>
        <v>14260.108</v>
      </c>
      <c r="L16" s="160">
        <f t="shared" si="1"/>
        <v>0</v>
      </c>
    </row>
    <row r="17" spans="2:12" ht="12.75">
      <c r="B17" s="249"/>
      <c r="C17" s="246"/>
      <c r="E17" s="241"/>
      <c r="F17" s="241"/>
      <c r="G17" s="241"/>
      <c r="H17" s="241"/>
      <c r="I17" s="241"/>
      <c r="J17" s="241"/>
      <c r="K17" s="241"/>
      <c r="L17" s="241"/>
    </row>
    <row r="18" spans="5:12" ht="12.75">
      <c r="E18" s="241"/>
      <c r="F18" s="241"/>
      <c r="G18" s="241"/>
      <c r="H18" s="241"/>
      <c r="I18" s="241"/>
      <c r="J18" s="241"/>
      <c r="K18" s="241"/>
      <c r="L18" s="241"/>
    </row>
    <row r="19" spans="2:12" s="244" customFormat="1" ht="12.75">
      <c r="B19" s="242" t="s">
        <v>90</v>
      </c>
      <c r="C19" s="242"/>
      <c r="D19" s="242"/>
      <c r="E19" s="243"/>
      <c r="F19" s="243"/>
      <c r="G19" s="243"/>
      <c r="H19" s="243"/>
      <c r="I19" s="243"/>
      <c r="J19" s="243"/>
      <c r="K19" s="243"/>
      <c r="L19" s="243"/>
    </row>
    <row r="20" spans="5:12" ht="12.75">
      <c r="E20" s="241"/>
      <c r="F20" s="241"/>
      <c r="G20" s="241"/>
      <c r="H20" s="241"/>
      <c r="I20" s="241"/>
      <c r="J20" s="241"/>
      <c r="K20" s="241"/>
      <c r="L20" s="241"/>
    </row>
    <row r="21" spans="2:12" ht="12.75">
      <c r="B21" s="245" t="s">
        <v>176</v>
      </c>
      <c r="E21" s="241"/>
      <c r="F21" s="241"/>
      <c r="G21" s="241"/>
      <c r="H21" s="241"/>
      <c r="I21" s="241"/>
      <c r="J21" s="241"/>
      <c r="K21" s="241"/>
      <c r="L21" s="241"/>
    </row>
    <row r="22" spans="2:12" ht="12.75">
      <c r="B22" s="73" t="s">
        <v>255</v>
      </c>
      <c r="C22" s="246" t="s">
        <v>91</v>
      </c>
      <c r="E22" s="159">
        <f>Kosten!E44</f>
        <v>0</v>
      </c>
      <c r="F22" s="159">
        <f>Kosten!F44</f>
        <v>0</v>
      </c>
      <c r="G22" s="159">
        <f>Kosten!G44</f>
        <v>0</v>
      </c>
      <c r="H22" s="159">
        <f>Kosten!H44</f>
        <v>0</v>
      </c>
      <c r="I22" s="159">
        <f>Kosten!I44</f>
        <v>0</v>
      </c>
      <c r="J22" s="159">
        <f>Kosten!J44</f>
        <v>0</v>
      </c>
      <c r="K22" s="159">
        <f>Kosten!K44</f>
        <v>0</v>
      </c>
      <c r="L22" s="159">
        <f>Kosten!L44</f>
        <v>0</v>
      </c>
    </row>
    <row r="23" spans="2:12" ht="12.75">
      <c r="B23" s="73" t="s">
        <v>171</v>
      </c>
      <c r="C23" s="246" t="s">
        <v>91</v>
      </c>
      <c r="E23" s="159">
        <f>Kosten!E45</f>
        <v>0</v>
      </c>
      <c r="F23" s="159">
        <f>Kosten!F45</f>
        <v>451.936</v>
      </c>
      <c r="G23" s="159">
        <f>Kosten!G45</f>
        <v>0</v>
      </c>
      <c r="H23" s="159">
        <f>Kosten!H45</f>
        <v>1673</v>
      </c>
      <c r="I23" s="159">
        <f>Kosten!I45</f>
        <v>14310.34846000618</v>
      </c>
      <c r="J23" s="159">
        <f>Kosten!J45</f>
        <v>0.13175</v>
      </c>
      <c r="K23" s="159">
        <f>Kosten!K45</f>
        <v>14323.928</v>
      </c>
      <c r="L23" s="159">
        <f>Kosten!L45</f>
        <v>25</v>
      </c>
    </row>
    <row r="24" spans="5:12" ht="12.75">
      <c r="E24" s="220"/>
      <c r="F24" s="220"/>
      <c r="G24" s="220"/>
      <c r="H24" s="220"/>
      <c r="I24" s="220"/>
      <c r="J24" s="220"/>
      <c r="K24" s="220"/>
      <c r="L24" s="220"/>
    </row>
    <row r="25" spans="2:12" ht="12.75">
      <c r="B25" s="245" t="s">
        <v>66</v>
      </c>
      <c r="E25" s="220"/>
      <c r="F25" s="220"/>
      <c r="G25" s="220"/>
      <c r="H25" s="220"/>
      <c r="I25" s="220"/>
      <c r="J25" s="220"/>
      <c r="K25" s="220"/>
      <c r="L25" s="220"/>
    </row>
    <row r="26" spans="2:12" ht="12.75">
      <c r="B26" s="240" t="s">
        <v>88</v>
      </c>
      <c r="C26" s="246" t="s">
        <v>91</v>
      </c>
      <c r="E26" s="248">
        <v>2755.3683948449725</v>
      </c>
      <c r="F26" s="248"/>
      <c r="G26" s="248"/>
      <c r="H26" s="248"/>
      <c r="I26" s="248"/>
      <c r="J26" s="248">
        <v>6651.406941451698</v>
      </c>
      <c r="K26" s="248"/>
      <c r="L26" s="248"/>
    </row>
    <row r="27" spans="2:12" ht="12.75">
      <c r="B27" s="240" t="s">
        <v>89</v>
      </c>
      <c r="C27" s="246" t="s">
        <v>91</v>
      </c>
      <c r="E27" s="248">
        <v>918.4561316149905</v>
      </c>
      <c r="F27" s="248"/>
      <c r="G27" s="248"/>
      <c r="H27" s="248"/>
      <c r="I27" s="248"/>
      <c r="J27" s="248">
        <v>604.6733583137908</v>
      </c>
      <c r="K27" s="248"/>
      <c r="L27" s="248"/>
    </row>
    <row r="28" spans="2:12" ht="12.75">
      <c r="B28" s="246" t="s">
        <v>67</v>
      </c>
      <c r="C28" s="246" t="s">
        <v>91</v>
      </c>
      <c r="E28" s="159">
        <f aca="true" t="shared" si="2" ref="E28:L28">WACC2011*E26+E27</f>
        <v>1089.2889720953788</v>
      </c>
      <c r="F28" s="159">
        <f t="shared" si="2"/>
        <v>0</v>
      </c>
      <c r="G28" s="159">
        <f t="shared" si="2"/>
        <v>0</v>
      </c>
      <c r="H28" s="159">
        <f t="shared" si="2"/>
        <v>0</v>
      </c>
      <c r="I28" s="159">
        <f t="shared" si="2"/>
        <v>0</v>
      </c>
      <c r="J28" s="159">
        <f t="shared" si="2"/>
        <v>1017.0605886837961</v>
      </c>
      <c r="K28" s="159">
        <f t="shared" si="2"/>
        <v>0</v>
      </c>
      <c r="L28" s="159">
        <f t="shared" si="2"/>
        <v>0</v>
      </c>
    </row>
    <row r="29" spans="2:12" ht="12.75">
      <c r="B29" s="246"/>
      <c r="C29" s="246"/>
      <c r="E29" s="220"/>
      <c r="F29" s="220"/>
      <c r="G29" s="220"/>
      <c r="H29" s="220"/>
      <c r="I29" s="220"/>
      <c r="J29" s="220"/>
      <c r="K29" s="220"/>
      <c r="L29" s="220"/>
    </row>
    <row r="30" spans="2:12" ht="12.75">
      <c r="B30" s="249" t="s">
        <v>68</v>
      </c>
      <c r="C30" s="246" t="s">
        <v>91</v>
      </c>
      <c r="E30" s="160">
        <f aca="true" t="shared" si="3" ref="E30:L30">E22+E23+E28</f>
        <v>1089.2889720953788</v>
      </c>
      <c r="F30" s="160">
        <f t="shared" si="3"/>
        <v>451.936</v>
      </c>
      <c r="G30" s="160">
        <f t="shared" si="3"/>
        <v>0</v>
      </c>
      <c r="H30" s="160">
        <f t="shared" si="3"/>
        <v>1673</v>
      </c>
      <c r="I30" s="160">
        <f t="shared" si="3"/>
        <v>14310.34846000618</v>
      </c>
      <c r="J30" s="160">
        <f t="shared" si="3"/>
        <v>1017.1923386837962</v>
      </c>
      <c r="K30" s="160">
        <f t="shared" si="3"/>
        <v>14323.928</v>
      </c>
      <c r="L30" s="160">
        <f t="shared" si="3"/>
        <v>25</v>
      </c>
    </row>
    <row r="31" spans="5:12" ht="12.75">
      <c r="E31" s="241"/>
      <c r="F31" s="241"/>
      <c r="G31" s="241"/>
      <c r="H31" s="241"/>
      <c r="I31" s="241"/>
      <c r="J31" s="241"/>
      <c r="K31" s="241"/>
      <c r="L31" s="241"/>
    </row>
    <row r="32" spans="5:12" ht="12.75">
      <c r="E32" s="241"/>
      <c r="F32" s="241"/>
      <c r="G32" s="241"/>
      <c r="H32" s="241"/>
      <c r="I32" s="241"/>
      <c r="J32" s="241"/>
      <c r="K32" s="241"/>
      <c r="L32" s="241"/>
    </row>
    <row r="33" spans="2:12" s="244" customFormat="1" ht="12.75">
      <c r="B33" s="242" t="s">
        <v>92</v>
      </c>
      <c r="C33" s="242"/>
      <c r="D33" s="242"/>
      <c r="E33" s="243"/>
      <c r="F33" s="243"/>
      <c r="G33" s="243"/>
      <c r="H33" s="243"/>
      <c r="I33" s="243"/>
      <c r="J33" s="243"/>
      <c r="K33" s="243"/>
      <c r="L33" s="243"/>
    </row>
    <row r="34" spans="5:12" ht="12.75">
      <c r="E34" s="241"/>
      <c r="F34" s="241"/>
      <c r="G34" s="241"/>
      <c r="H34" s="241"/>
      <c r="I34" s="241"/>
      <c r="J34" s="241"/>
      <c r="K34" s="241"/>
      <c r="L34" s="241"/>
    </row>
    <row r="35" spans="2:12" ht="12.75">
      <c r="B35" s="245" t="s">
        <v>176</v>
      </c>
      <c r="E35" s="241"/>
      <c r="F35" s="241"/>
      <c r="G35" s="241"/>
      <c r="H35" s="241"/>
      <c r="I35" s="241"/>
      <c r="J35" s="241"/>
      <c r="K35" s="241"/>
      <c r="L35" s="241"/>
    </row>
    <row r="36" spans="2:12" ht="12.75">
      <c r="B36" s="73" t="s">
        <v>255</v>
      </c>
      <c r="C36" s="246" t="s">
        <v>93</v>
      </c>
      <c r="E36" s="159">
        <f>Kosten!E71</f>
        <v>0</v>
      </c>
      <c r="F36" s="159">
        <f>Kosten!F71</f>
        <v>0</v>
      </c>
      <c r="G36" s="159">
        <f>Kosten!G71</f>
        <v>0</v>
      </c>
      <c r="H36" s="159">
        <f>Kosten!H71</f>
        <v>0</v>
      </c>
      <c r="I36" s="159">
        <f>Kosten!I71</f>
        <v>0</v>
      </c>
      <c r="J36" s="159">
        <f>Kosten!J71</f>
        <v>0</v>
      </c>
      <c r="K36" s="159">
        <f>Kosten!K71</f>
        <v>0</v>
      </c>
      <c r="L36" s="159">
        <f>Kosten!L71</f>
        <v>0</v>
      </c>
    </row>
    <row r="37" spans="2:12" ht="12.75">
      <c r="B37" s="73" t="s">
        <v>171</v>
      </c>
      <c r="C37" s="246" t="s">
        <v>93</v>
      </c>
      <c r="E37" s="159">
        <f>Kosten!E72</f>
        <v>0</v>
      </c>
      <c r="F37" s="159">
        <f>Kosten!F72</f>
        <v>482.726</v>
      </c>
      <c r="G37" s="159">
        <f>Kosten!G72</f>
        <v>0</v>
      </c>
      <c r="H37" s="159">
        <f>Kosten!H72</f>
        <v>1677</v>
      </c>
      <c r="I37" s="159">
        <f>Kosten!I72</f>
        <v>14012</v>
      </c>
      <c r="J37" s="159">
        <f>Kosten!J72</f>
        <v>0.1499</v>
      </c>
      <c r="K37" s="159">
        <f>Kosten!K72</f>
        <v>14761.361</v>
      </c>
      <c r="L37" s="159">
        <f>Kosten!L72</f>
        <v>13</v>
      </c>
    </row>
    <row r="38" spans="5:12" ht="12.75">
      <c r="E38" s="220"/>
      <c r="F38" s="220"/>
      <c r="G38" s="220"/>
      <c r="H38" s="220"/>
      <c r="I38" s="220"/>
      <c r="J38" s="220"/>
      <c r="K38" s="220"/>
      <c r="L38" s="220"/>
    </row>
    <row r="39" spans="2:12" ht="12.75">
      <c r="B39" s="245" t="s">
        <v>66</v>
      </c>
      <c r="E39" s="220"/>
      <c r="F39" s="220"/>
      <c r="G39" s="220"/>
      <c r="H39" s="220"/>
      <c r="I39" s="220"/>
      <c r="J39" s="220"/>
      <c r="K39" s="220"/>
      <c r="L39" s="220"/>
    </row>
    <row r="40" spans="2:12" ht="12.75">
      <c r="B40" s="240" t="s">
        <v>88</v>
      </c>
      <c r="C40" s="246" t="s">
        <v>93</v>
      </c>
      <c r="E40" s="248">
        <v>1857.1182981255117</v>
      </c>
      <c r="F40" s="248"/>
      <c r="G40" s="248"/>
      <c r="H40" s="248"/>
      <c r="I40" s="248"/>
      <c r="J40" s="248">
        <v>6113.2476525524235</v>
      </c>
      <c r="K40" s="248"/>
      <c r="L40" s="248"/>
    </row>
    <row r="41" spans="2:12" ht="12.75">
      <c r="B41" s="240" t="s">
        <v>89</v>
      </c>
      <c r="C41" s="246" t="s">
        <v>93</v>
      </c>
      <c r="E41" s="248">
        <v>928.5591490627552</v>
      </c>
      <c r="F41" s="248"/>
      <c r="G41" s="248"/>
      <c r="H41" s="248"/>
      <c r="I41" s="248"/>
      <c r="J41" s="248">
        <v>611.3247652552424</v>
      </c>
      <c r="K41" s="248"/>
      <c r="L41" s="248"/>
    </row>
    <row r="42" spans="2:12" ht="12.75">
      <c r="B42" s="246" t="s">
        <v>67</v>
      </c>
      <c r="C42" s="246" t="s">
        <v>93</v>
      </c>
      <c r="E42" s="159">
        <f aca="true" t="shared" si="4" ref="E42:L42">WACC2011*E40+E41</f>
        <v>1043.7004835465368</v>
      </c>
      <c r="F42" s="159">
        <f t="shared" si="4"/>
        <v>0</v>
      </c>
      <c r="G42" s="159">
        <f t="shared" si="4"/>
        <v>0</v>
      </c>
      <c r="H42" s="159">
        <f t="shared" si="4"/>
        <v>0</v>
      </c>
      <c r="I42" s="159">
        <f t="shared" si="4"/>
        <v>0</v>
      </c>
      <c r="J42" s="159">
        <f t="shared" si="4"/>
        <v>990.3461197134926</v>
      </c>
      <c r="K42" s="159">
        <f t="shared" si="4"/>
        <v>0</v>
      </c>
      <c r="L42" s="159">
        <f t="shared" si="4"/>
        <v>0</v>
      </c>
    </row>
    <row r="43" spans="2:12" ht="12.75">
      <c r="B43" s="246"/>
      <c r="C43" s="246"/>
      <c r="E43" s="220"/>
      <c r="F43" s="220"/>
      <c r="G43" s="220"/>
      <c r="H43" s="220"/>
      <c r="I43" s="220"/>
      <c r="J43" s="220"/>
      <c r="K43" s="220"/>
      <c r="L43" s="220"/>
    </row>
    <row r="44" spans="2:12" ht="12.75">
      <c r="B44" s="249" t="s">
        <v>68</v>
      </c>
      <c r="C44" s="246" t="s">
        <v>93</v>
      </c>
      <c r="E44" s="160">
        <f aca="true" t="shared" si="5" ref="E44:L44">E36+E37+E42</f>
        <v>1043.7004835465368</v>
      </c>
      <c r="F44" s="160">
        <f t="shared" si="5"/>
        <v>482.726</v>
      </c>
      <c r="G44" s="160">
        <f t="shared" si="5"/>
        <v>0</v>
      </c>
      <c r="H44" s="160">
        <f t="shared" si="5"/>
        <v>1677</v>
      </c>
      <c r="I44" s="160">
        <f t="shared" si="5"/>
        <v>14012</v>
      </c>
      <c r="J44" s="160">
        <f t="shared" si="5"/>
        <v>990.4960197134926</v>
      </c>
      <c r="K44" s="160">
        <f t="shared" si="5"/>
        <v>14761.361</v>
      </c>
      <c r="L44" s="160">
        <f t="shared" si="5"/>
        <v>13</v>
      </c>
    </row>
    <row r="45" spans="5:12" ht="12.75">
      <c r="E45" s="241"/>
      <c r="F45" s="241"/>
      <c r="G45" s="241"/>
      <c r="H45" s="241"/>
      <c r="I45" s="241"/>
      <c r="J45" s="241"/>
      <c r="K45" s="241"/>
      <c r="L45" s="241"/>
    </row>
    <row r="46" spans="5:12" ht="12.75">
      <c r="E46" s="241"/>
      <c r="F46" s="241"/>
      <c r="G46" s="241"/>
      <c r="H46" s="241"/>
      <c r="I46" s="241"/>
      <c r="J46" s="241"/>
      <c r="K46" s="241"/>
      <c r="L46" s="241"/>
    </row>
    <row r="47" spans="2:12" s="244" customFormat="1" ht="12.75">
      <c r="B47" s="242" t="s">
        <v>64</v>
      </c>
      <c r="C47" s="242"/>
      <c r="D47" s="242"/>
      <c r="E47" s="243"/>
      <c r="F47" s="243"/>
      <c r="G47" s="243"/>
      <c r="H47" s="243"/>
      <c r="I47" s="243"/>
      <c r="J47" s="243"/>
      <c r="K47" s="243"/>
      <c r="L47" s="243"/>
    </row>
    <row r="48" spans="5:12" ht="12.75">
      <c r="E48" s="241"/>
      <c r="F48" s="241"/>
      <c r="G48" s="241"/>
      <c r="H48" s="241"/>
      <c r="I48" s="241"/>
      <c r="J48" s="241"/>
      <c r="K48" s="241"/>
      <c r="L48" s="241"/>
    </row>
    <row r="49" spans="2:12" ht="12.75">
      <c r="B49" s="245" t="s">
        <v>176</v>
      </c>
      <c r="E49" s="241"/>
      <c r="F49" s="241"/>
      <c r="G49" s="241"/>
      <c r="H49" s="241"/>
      <c r="I49" s="241"/>
      <c r="J49" s="241"/>
      <c r="K49" s="241"/>
      <c r="L49" s="241"/>
    </row>
    <row r="50" spans="2:12" ht="12.75">
      <c r="B50" s="73" t="s">
        <v>255</v>
      </c>
      <c r="C50" s="246" t="s">
        <v>94</v>
      </c>
      <c r="E50" s="159">
        <f>Kosten!E99</f>
        <v>8</v>
      </c>
      <c r="F50" s="159">
        <f>Kosten!F99</f>
        <v>0</v>
      </c>
      <c r="G50" s="159">
        <f>Kosten!G99</f>
        <v>0</v>
      </c>
      <c r="H50" s="159">
        <f>Kosten!H99</f>
        <v>0</v>
      </c>
      <c r="I50" s="159">
        <f>Kosten!I99</f>
        <v>0</v>
      </c>
      <c r="J50" s="159">
        <f>Kosten!J99</f>
        <v>0</v>
      </c>
      <c r="K50" s="159">
        <f>Kosten!K99</f>
        <v>0</v>
      </c>
      <c r="L50" s="159">
        <f>Kosten!L99</f>
        <v>0</v>
      </c>
    </row>
    <row r="51" spans="2:12" ht="12.75">
      <c r="B51" s="73" t="s">
        <v>171</v>
      </c>
      <c r="C51" s="246" t="s">
        <v>94</v>
      </c>
      <c r="E51" s="159">
        <f>Kosten!E100</f>
        <v>0</v>
      </c>
      <c r="F51" s="159">
        <f>Kosten!F100</f>
        <v>494.00998</v>
      </c>
      <c r="G51" s="159">
        <f>Kosten!G100</f>
        <v>0</v>
      </c>
      <c r="H51" s="159">
        <f>Kosten!H100</f>
        <v>1738</v>
      </c>
      <c r="I51" s="159">
        <f>Kosten!I100</f>
        <v>13649.306745956945</v>
      </c>
      <c r="J51" s="159">
        <f>Kosten!J100</f>
        <v>0.1391</v>
      </c>
      <c r="K51" s="159">
        <f>Kosten!K100</f>
        <v>15458.974</v>
      </c>
      <c r="L51" s="159">
        <f>Kosten!L100</f>
        <v>24.34</v>
      </c>
    </row>
    <row r="52" spans="5:12" ht="12.75">
      <c r="E52" s="220"/>
      <c r="F52" s="220"/>
      <c r="G52" s="220"/>
      <c r="H52" s="220"/>
      <c r="I52" s="220"/>
      <c r="J52" s="220"/>
      <c r="K52" s="220"/>
      <c r="L52" s="220"/>
    </row>
    <row r="53" spans="2:12" ht="12.75">
      <c r="B53" s="245" t="s">
        <v>66</v>
      </c>
      <c r="E53" s="220"/>
      <c r="F53" s="258"/>
      <c r="G53" s="220"/>
      <c r="H53" s="220"/>
      <c r="I53" s="220"/>
      <c r="J53" s="220"/>
      <c r="K53" s="220"/>
      <c r="L53" s="220"/>
    </row>
    <row r="54" spans="2:12" ht="12.75">
      <c r="B54" s="240" t="s">
        <v>88</v>
      </c>
      <c r="C54" s="246" t="s">
        <v>94</v>
      </c>
      <c r="E54" s="248">
        <v>958.2730418327648</v>
      </c>
      <c r="F54" s="248"/>
      <c r="G54" s="248"/>
      <c r="H54" s="248"/>
      <c r="I54" s="248"/>
      <c r="J54" s="248">
        <v>5677.984419690691</v>
      </c>
      <c r="K54" s="248"/>
      <c r="L54" s="248"/>
    </row>
    <row r="55" spans="2:12" ht="12.75">
      <c r="B55" s="240" t="s">
        <v>89</v>
      </c>
      <c r="C55" s="246" t="s">
        <v>94</v>
      </c>
      <c r="E55" s="248">
        <v>958.2730418327634</v>
      </c>
      <c r="F55" s="248"/>
      <c r="G55" s="248"/>
      <c r="H55" s="248"/>
      <c r="I55" s="248"/>
      <c r="J55" s="248">
        <v>630.8871577434102</v>
      </c>
      <c r="K55" s="248"/>
      <c r="L55" s="248"/>
    </row>
    <row r="56" spans="2:12" ht="12.75">
      <c r="B56" s="246" t="s">
        <v>67</v>
      </c>
      <c r="C56" s="246" t="s">
        <v>94</v>
      </c>
      <c r="E56" s="159">
        <f aca="true" t="shared" si="6" ref="E56:L56">WACC2011*E54+E55</f>
        <v>1017.6859704263948</v>
      </c>
      <c r="F56" s="159">
        <f t="shared" si="6"/>
        <v>0</v>
      </c>
      <c r="G56" s="159">
        <f t="shared" si="6"/>
        <v>0</v>
      </c>
      <c r="H56" s="159">
        <f t="shared" si="6"/>
        <v>0</v>
      </c>
      <c r="I56" s="159">
        <f t="shared" si="6"/>
        <v>0</v>
      </c>
      <c r="J56" s="159">
        <f t="shared" si="6"/>
        <v>982.922191764233</v>
      </c>
      <c r="K56" s="159">
        <f t="shared" si="6"/>
        <v>0</v>
      </c>
      <c r="L56" s="159">
        <f t="shared" si="6"/>
        <v>0</v>
      </c>
    </row>
    <row r="57" spans="2:12" ht="12.75">
      <c r="B57" s="246"/>
      <c r="C57" s="246"/>
      <c r="E57" s="220"/>
      <c r="F57" s="220"/>
      <c r="G57" s="220"/>
      <c r="H57" s="220"/>
      <c r="I57" s="220"/>
      <c r="J57" s="220"/>
      <c r="K57" s="220"/>
      <c r="L57" s="220"/>
    </row>
    <row r="58" spans="2:12" ht="12.75">
      <c r="B58" s="249" t="s">
        <v>68</v>
      </c>
      <c r="C58" s="246" t="s">
        <v>94</v>
      </c>
      <c r="E58" s="160">
        <f aca="true" t="shared" si="7" ref="E58:L58">E50+E51+E56</f>
        <v>1025.6859704263948</v>
      </c>
      <c r="F58" s="160">
        <f t="shared" si="7"/>
        <v>494.00998</v>
      </c>
      <c r="G58" s="160">
        <f t="shared" si="7"/>
        <v>0</v>
      </c>
      <c r="H58" s="160">
        <f t="shared" si="7"/>
        <v>1738</v>
      </c>
      <c r="I58" s="160">
        <f t="shared" si="7"/>
        <v>13649.306745956945</v>
      </c>
      <c r="J58" s="160">
        <f t="shared" si="7"/>
        <v>983.061291764233</v>
      </c>
      <c r="K58" s="160">
        <f t="shared" si="7"/>
        <v>15458.974</v>
      </c>
      <c r="L58" s="160">
        <f t="shared" si="7"/>
        <v>24.34</v>
      </c>
    </row>
    <row r="59" spans="5:12" ht="12.75">
      <c r="E59" s="241"/>
      <c r="F59" s="241"/>
      <c r="G59" s="241"/>
      <c r="H59" s="241"/>
      <c r="I59" s="241"/>
      <c r="J59" s="241"/>
      <c r="K59" s="241"/>
      <c r="L59" s="241"/>
    </row>
    <row r="60" spans="5:12" ht="12.75">
      <c r="E60" s="241"/>
      <c r="F60" s="241"/>
      <c r="G60" s="241"/>
      <c r="H60" s="241"/>
      <c r="I60" s="241"/>
      <c r="J60" s="241"/>
      <c r="K60" s="241"/>
      <c r="L60" s="241"/>
    </row>
    <row r="61" spans="2:12" s="244" customFormat="1" ht="12.75">
      <c r="B61" s="242" t="s">
        <v>95</v>
      </c>
      <c r="C61" s="242"/>
      <c r="D61" s="242"/>
      <c r="E61" s="243"/>
      <c r="F61" s="243"/>
      <c r="G61" s="243"/>
      <c r="H61" s="243"/>
      <c r="I61" s="243"/>
      <c r="J61" s="243"/>
      <c r="K61" s="243"/>
      <c r="L61" s="243"/>
    </row>
    <row r="62" spans="5:12" ht="12.75">
      <c r="E62" s="241"/>
      <c r="F62" s="241"/>
      <c r="G62" s="241"/>
      <c r="H62" s="241"/>
      <c r="I62" s="241"/>
      <c r="J62" s="241"/>
      <c r="K62" s="241"/>
      <c r="L62" s="241"/>
    </row>
    <row r="63" spans="2:12" ht="12.75">
      <c r="B63" s="246" t="s">
        <v>96</v>
      </c>
      <c r="C63" s="246" t="s">
        <v>97</v>
      </c>
      <c r="E63" s="159">
        <v>1028.7630283376739</v>
      </c>
      <c r="F63" s="159">
        <v>495.49200993999995</v>
      </c>
      <c r="G63" s="159">
        <v>0</v>
      </c>
      <c r="H63" s="159">
        <v>1743.2139999999997</v>
      </c>
      <c r="I63" s="159">
        <v>13690.254666194814</v>
      </c>
      <c r="J63" s="159">
        <v>986.0104756395257</v>
      </c>
      <c r="K63" s="159">
        <v>15505.350921999998</v>
      </c>
      <c r="L63" s="159">
        <v>24.413019999999996</v>
      </c>
    </row>
    <row r="64" spans="2:12" ht="12.75">
      <c r="B64" s="249" t="s">
        <v>69</v>
      </c>
      <c r="C64" s="246" t="s">
        <v>97</v>
      </c>
      <c r="E64" s="160">
        <f aca="true" t="shared" si="8" ref="E64:L64">E63</f>
        <v>1028.7630283376739</v>
      </c>
      <c r="F64" s="160">
        <f t="shared" si="8"/>
        <v>495.49200993999995</v>
      </c>
      <c r="G64" s="160">
        <f t="shared" si="8"/>
        <v>0</v>
      </c>
      <c r="H64" s="160">
        <f t="shared" si="8"/>
        <v>1743.2139999999997</v>
      </c>
      <c r="I64" s="160">
        <f t="shared" si="8"/>
        <v>13690.254666194814</v>
      </c>
      <c r="J64" s="160">
        <f t="shared" si="8"/>
        <v>986.0104756395257</v>
      </c>
      <c r="K64" s="160">
        <f t="shared" si="8"/>
        <v>15505.350921999998</v>
      </c>
      <c r="L64" s="160">
        <f t="shared" si="8"/>
        <v>24.413019999999996</v>
      </c>
    </row>
    <row r="65" spans="5:12" ht="12.75">
      <c r="E65" s="241"/>
      <c r="F65" s="241"/>
      <c r="G65" s="241"/>
      <c r="H65" s="241"/>
      <c r="I65" s="241"/>
      <c r="J65" s="241"/>
      <c r="K65" s="241"/>
      <c r="L65" s="241"/>
    </row>
    <row r="66" spans="5:12" ht="12.75">
      <c r="E66" s="241"/>
      <c r="F66" s="241"/>
      <c r="G66" s="241"/>
      <c r="H66" s="241"/>
      <c r="I66" s="241"/>
      <c r="J66" s="241"/>
      <c r="K66" s="241"/>
      <c r="L66" s="241"/>
    </row>
    <row r="67" spans="2:12" s="244" customFormat="1" ht="12.75">
      <c r="B67" s="242" t="s">
        <v>98</v>
      </c>
      <c r="C67" s="242"/>
      <c r="D67" s="242"/>
      <c r="E67" s="243"/>
      <c r="F67" s="243"/>
      <c r="G67" s="243"/>
      <c r="H67" s="243"/>
      <c r="I67" s="243"/>
      <c r="J67" s="243"/>
      <c r="K67" s="243"/>
      <c r="L67" s="243"/>
    </row>
    <row r="68" spans="5:12" ht="12.75">
      <c r="E68" s="241"/>
      <c r="F68" s="241"/>
      <c r="G68" s="241"/>
      <c r="H68" s="241"/>
      <c r="I68" s="241"/>
      <c r="J68" s="241"/>
      <c r="K68" s="241"/>
      <c r="L68" s="241"/>
    </row>
    <row r="69" spans="2:12" ht="12.75">
      <c r="B69" s="240" t="s">
        <v>176</v>
      </c>
      <c r="C69" s="246" t="s">
        <v>94</v>
      </c>
      <c r="E69" s="159">
        <f>SUM(E50:E51)</f>
        <v>8</v>
      </c>
      <c r="F69" s="159">
        <f aca="true" t="shared" si="9" ref="F69:L69">SUM(F50:F51)</f>
        <v>494.00998</v>
      </c>
      <c r="G69" s="159">
        <f t="shared" si="9"/>
        <v>0</v>
      </c>
      <c r="H69" s="159">
        <f t="shared" si="9"/>
        <v>1738</v>
      </c>
      <c r="I69" s="159">
        <f t="shared" si="9"/>
        <v>13649.306745956945</v>
      </c>
      <c r="J69" s="159">
        <f t="shared" si="9"/>
        <v>0.1391</v>
      </c>
      <c r="K69" s="159">
        <f t="shared" si="9"/>
        <v>15458.974</v>
      </c>
      <c r="L69" s="159">
        <f t="shared" si="9"/>
        <v>24.34</v>
      </c>
    </row>
    <row r="70" spans="2:12" ht="12.75">
      <c r="B70" s="240" t="s">
        <v>99</v>
      </c>
      <c r="C70" s="246" t="s">
        <v>94</v>
      </c>
      <c r="E70" s="159">
        <v>1010.9780591335655</v>
      </c>
      <c r="F70" s="159">
        <v>0</v>
      </c>
      <c r="G70" s="159">
        <v>0</v>
      </c>
      <c r="H70" s="159">
        <v>0</v>
      </c>
      <c r="I70" s="159">
        <v>0</v>
      </c>
      <c r="J70" s="159">
        <v>943.1763008263981</v>
      </c>
      <c r="K70" s="159">
        <v>0</v>
      </c>
      <c r="L70" s="159">
        <v>0</v>
      </c>
    </row>
    <row r="71" spans="2:12" ht="12.75">
      <c r="B71" s="240" t="s">
        <v>100</v>
      </c>
      <c r="C71" s="246" t="s">
        <v>94</v>
      </c>
      <c r="E71" s="159">
        <f aca="true" t="shared" si="10" ref="E71:L71">SUM(E69:E70)</f>
        <v>1018.9780591335655</v>
      </c>
      <c r="F71" s="159">
        <f t="shared" si="10"/>
        <v>494.00998</v>
      </c>
      <c r="G71" s="159">
        <f t="shared" si="10"/>
        <v>0</v>
      </c>
      <c r="H71" s="159">
        <f t="shared" si="10"/>
        <v>1738</v>
      </c>
      <c r="I71" s="159">
        <f t="shared" si="10"/>
        <v>13649.306745956945</v>
      </c>
      <c r="J71" s="159">
        <f t="shared" si="10"/>
        <v>943.3154008263981</v>
      </c>
      <c r="K71" s="159">
        <f t="shared" si="10"/>
        <v>15458.974</v>
      </c>
      <c r="L71" s="159">
        <f t="shared" si="10"/>
        <v>24.34</v>
      </c>
    </row>
    <row r="72" spans="3:12" ht="12.75">
      <c r="C72" s="246"/>
      <c r="E72" s="250"/>
      <c r="F72" s="250"/>
      <c r="G72" s="250"/>
      <c r="H72" s="250"/>
      <c r="I72" s="250"/>
      <c r="J72" s="250"/>
      <c r="K72" s="250"/>
      <c r="L72" s="250"/>
    </row>
    <row r="73" spans="2:12" ht="12.75">
      <c r="B73" s="240" t="s">
        <v>509</v>
      </c>
      <c r="C73" s="246" t="s">
        <v>94</v>
      </c>
      <c r="D73" s="159">
        <f>Kosten!D130-SUM(E71:L71)-SUM('ORV Waterkruisingen'!E60:L60)</f>
        <v>2557990.322239771</v>
      </c>
      <c r="E73" s="250"/>
      <c r="F73" s="250"/>
      <c r="G73" s="250"/>
      <c r="H73" s="250"/>
      <c r="I73" s="250"/>
      <c r="J73" s="250"/>
      <c r="K73" s="250"/>
      <c r="L73" s="250"/>
    </row>
    <row r="74" spans="2:12" ht="12.75">
      <c r="B74" s="240" t="s">
        <v>79</v>
      </c>
      <c r="C74" s="246" t="s">
        <v>57</v>
      </c>
      <c r="D74" s="264">
        <f>SUM(E71:L71)/(D73+SUM(E71:L71))</f>
        <v>0.012860997329403077</v>
      </c>
      <c r="E74" s="250"/>
      <c r="F74" s="250"/>
      <c r="G74" s="250"/>
      <c r="H74" s="250"/>
      <c r="I74" s="250"/>
      <c r="J74" s="250"/>
      <c r="K74" s="250"/>
      <c r="L74" s="250"/>
    </row>
    <row r="75" spans="3:12" ht="12.75">
      <c r="C75" s="246"/>
      <c r="D75" s="250"/>
      <c r="E75" s="250"/>
      <c r="F75" s="250"/>
      <c r="G75" s="250"/>
      <c r="H75" s="250"/>
      <c r="I75" s="250"/>
      <c r="J75" s="250"/>
      <c r="K75" s="250"/>
      <c r="L75" s="250"/>
    </row>
    <row r="76" spans="2:12" ht="12.75">
      <c r="B76" s="240" t="s">
        <v>83</v>
      </c>
      <c r="C76" s="246" t="s">
        <v>57</v>
      </c>
      <c r="E76" s="264">
        <f>E71/((SO!E38/SO!$M$38)*$D$73+E71)</f>
        <v>0.059179615056796975</v>
      </c>
      <c r="F76" s="264">
        <f>F71/((SO!F38/SO!$M$38)*$D$73+F71)</f>
        <v>0.007481598908668069</v>
      </c>
      <c r="G76" s="264">
        <f>G71/((SO!G38/SO!$M$38)*$D$73+G71)</f>
        <v>0</v>
      </c>
      <c r="H76" s="264">
        <f>H71/((SO!H38/SO!$M$38)*$D$73+H71)</f>
        <v>0.0019766586057400133</v>
      </c>
      <c r="I76" s="264">
        <f>I71/((SO!I38/SO!$M$38)*$D$73+I71)</f>
        <v>0.015241076743970374</v>
      </c>
      <c r="J76" s="264">
        <f>J71/((SO!J38/SO!$M$38)*$D$73+J71)</f>
        <v>0.08774643728168689</v>
      </c>
      <c r="K76" s="264">
        <f>K71/((SO!K38/SO!$M$38)*$D$73+K71)</f>
        <v>0.023699781765389547</v>
      </c>
      <c r="L76" s="264">
        <f>L71/((SO!L38/SO!$M$38)*$D$73+L71)</f>
        <v>0.000654318210523953</v>
      </c>
    </row>
    <row r="77" spans="2:12" ht="12.75">
      <c r="B77" s="245" t="s">
        <v>101</v>
      </c>
      <c r="C77" s="246"/>
      <c r="E77" s="251" t="str">
        <f aca="true" t="shared" si="11" ref="E77:L77">IF(ABS(E76-$D$74)&gt;1%,"ja","nee")</f>
        <v>ja</v>
      </c>
      <c r="F77" s="251" t="str">
        <f t="shared" si="11"/>
        <v>nee</v>
      </c>
      <c r="G77" s="251" t="str">
        <f t="shared" si="11"/>
        <v>ja</v>
      </c>
      <c r="H77" s="251" t="str">
        <f t="shared" si="11"/>
        <v>ja</v>
      </c>
      <c r="I77" s="251" t="str">
        <f t="shared" si="11"/>
        <v>nee</v>
      </c>
      <c r="J77" s="251" t="str">
        <f t="shared" si="11"/>
        <v>ja</v>
      </c>
      <c r="K77" s="251" t="str">
        <f t="shared" si="11"/>
        <v>ja</v>
      </c>
      <c r="L77" s="251" t="str">
        <f t="shared" si="11"/>
        <v>ja</v>
      </c>
    </row>
    <row r="78" spans="3:12" ht="12.75">
      <c r="C78" s="246"/>
      <c r="E78" s="241"/>
      <c r="F78" s="241"/>
      <c r="G78" s="241"/>
      <c r="H78" s="241"/>
      <c r="I78" s="241"/>
      <c r="J78" s="241"/>
      <c r="K78" s="241"/>
      <c r="L78" s="241"/>
    </row>
    <row r="79" spans="5:12" ht="12.75">
      <c r="E79" s="241"/>
      <c r="F79" s="241"/>
      <c r="G79" s="241"/>
      <c r="H79" s="241"/>
      <c r="I79" s="241"/>
      <c r="J79" s="241"/>
      <c r="K79" s="241"/>
      <c r="L79" s="241"/>
    </row>
    <row r="80" spans="5:12" ht="12.75">
      <c r="E80" s="241"/>
      <c r="F80" s="241"/>
      <c r="G80" s="241"/>
      <c r="H80" s="241"/>
      <c r="I80" s="241"/>
      <c r="J80" s="241"/>
      <c r="K80" s="241"/>
      <c r="L80" s="241"/>
    </row>
  </sheetData>
  <sheetProtection/>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Blad20"/>
  <dimension ref="B2:L69"/>
  <sheetViews>
    <sheetView showGridLines="0" zoomScale="85" zoomScaleNormal="85" workbookViewId="0" topLeftCell="A1">
      <pane xSplit="4" ySplit="2" topLeftCell="E3" activePane="bottomRight" state="frozen"/>
      <selection pane="topLeft" activeCell="C36" sqref="C36"/>
      <selection pane="topRight" activeCell="C36" sqref="C36"/>
      <selection pane="bottomLeft" activeCell="C36" sqref="C36"/>
      <selection pane="bottomRight" activeCell="A1" sqref="A1"/>
    </sheetView>
  </sheetViews>
  <sheetFormatPr defaultColWidth="9.140625" defaultRowHeight="12.75"/>
  <cols>
    <col min="1" max="1" width="2.7109375" style="240" customWidth="1"/>
    <col min="2" max="2" width="67.28125" style="240" customWidth="1"/>
    <col min="3" max="3" width="19.57421875" style="240" customWidth="1"/>
    <col min="4" max="4" width="9.57421875" style="240" customWidth="1"/>
    <col min="5" max="10" width="9.7109375" style="240" customWidth="1"/>
    <col min="11" max="11" width="10.7109375" style="240" bestFit="1" customWidth="1"/>
    <col min="12" max="12" width="9.7109375" style="240" customWidth="1"/>
    <col min="13" max="16384" width="9.140625" style="240" customWidth="1"/>
  </cols>
  <sheetData>
    <row r="2" spans="2:12" s="239" customFormat="1" ht="60">
      <c r="B2" s="238" t="s">
        <v>71</v>
      </c>
      <c r="C2" s="238"/>
      <c r="D2" s="238"/>
      <c r="E2" s="4" t="s">
        <v>139</v>
      </c>
      <c r="F2" s="4" t="s">
        <v>58</v>
      </c>
      <c r="G2" s="4" t="s">
        <v>388</v>
      </c>
      <c r="H2" s="4" t="s">
        <v>141</v>
      </c>
      <c r="I2" s="4" t="s">
        <v>142</v>
      </c>
      <c r="J2" s="4" t="s">
        <v>143</v>
      </c>
      <c r="K2" s="4" t="s">
        <v>140</v>
      </c>
      <c r="L2" s="4" t="s">
        <v>59</v>
      </c>
    </row>
    <row r="4" spans="2:4" ht="12.75">
      <c r="B4" s="240" t="s">
        <v>484</v>
      </c>
      <c r="C4" s="240" t="s">
        <v>57</v>
      </c>
      <c r="D4" s="278">
        <v>0.83</v>
      </c>
    </row>
    <row r="5" spans="5:12" ht="12.75">
      <c r="E5" s="241"/>
      <c r="F5" s="241"/>
      <c r="G5" s="241"/>
      <c r="H5" s="241"/>
      <c r="I5" s="241"/>
      <c r="J5" s="241"/>
      <c r="K5" s="241"/>
      <c r="L5" s="241"/>
    </row>
    <row r="6" spans="2:12" s="244" customFormat="1" ht="12.75">
      <c r="B6" s="242" t="s">
        <v>72</v>
      </c>
      <c r="C6" s="242"/>
      <c r="D6" s="242"/>
      <c r="E6" s="243"/>
      <c r="F6" s="243"/>
      <c r="G6" s="243"/>
      <c r="H6" s="243"/>
      <c r="I6" s="243"/>
      <c r="J6" s="243"/>
      <c r="K6" s="243"/>
      <c r="L6" s="243"/>
    </row>
    <row r="7" spans="5:12" ht="12.75">
      <c r="E7" s="241"/>
      <c r="F7" s="241"/>
      <c r="G7" s="241"/>
      <c r="H7" s="241"/>
      <c r="I7" s="241"/>
      <c r="J7" s="241"/>
      <c r="K7" s="241"/>
      <c r="L7" s="241"/>
    </row>
    <row r="8" spans="2:12" ht="12.75">
      <c r="B8" s="256" t="s">
        <v>481</v>
      </c>
      <c r="C8" s="246" t="s">
        <v>87</v>
      </c>
      <c r="E8" s="259"/>
      <c r="F8" s="248">
        <v>223.156</v>
      </c>
      <c r="G8" s="259"/>
      <c r="H8" s="259"/>
      <c r="I8" s="248">
        <v>338.192</v>
      </c>
      <c r="J8" s="259"/>
      <c r="K8" s="259"/>
      <c r="L8" s="259"/>
    </row>
    <row r="9" spans="2:12" ht="12.75">
      <c r="B9" s="240" t="s">
        <v>76</v>
      </c>
      <c r="C9" s="246" t="s">
        <v>87</v>
      </c>
      <c r="E9" s="248"/>
      <c r="F9" s="248">
        <v>1516.9841415407166</v>
      </c>
      <c r="G9" s="248"/>
      <c r="H9" s="248"/>
      <c r="I9" s="248">
        <v>16326.819646258642</v>
      </c>
      <c r="J9" s="248"/>
      <c r="K9" s="248"/>
      <c r="L9" s="248"/>
    </row>
    <row r="10" spans="2:12" ht="12.75">
      <c r="B10" s="240" t="s">
        <v>77</v>
      </c>
      <c r="C10" s="246" t="s">
        <v>87</v>
      </c>
      <c r="E10" s="248"/>
      <c r="F10" s="248">
        <v>86.68480808804091</v>
      </c>
      <c r="G10" s="248"/>
      <c r="H10" s="248"/>
      <c r="I10" s="248">
        <v>716.2666380783475</v>
      </c>
      <c r="J10" s="248"/>
      <c r="K10" s="248"/>
      <c r="L10" s="248"/>
    </row>
    <row r="11" spans="2:12" ht="12.75">
      <c r="B11" s="246" t="s">
        <v>479</v>
      </c>
      <c r="C11" s="246" t="s">
        <v>87</v>
      </c>
      <c r="E11" s="159">
        <f aca="true" t="shared" si="0" ref="E11:L11">WACC2011*E9+E10</f>
        <v>0</v>
      </c>
      <c r="F11" s="159">
        <f t="shared" si="0"/>
        <v>180.73782486356532</v>
      </c>
      <c r="G11" s="159">
        <f t="shared" si="0"/>
        <v>0</v>
      </c>
      <c r="H11" s="159">
        <f t="shared" si="0"/>
        <v>0</v>
      </c>
      <c r="I11" s="159">
        <f t="shared" si="0"/>
        <v>1728.5294561463834</v>
      </c>
      <c r="J11" s="159">
        <f t="shared" si="0"/>
        <v>0</v>
      </c>
      <c r="K11" s="159">
        <f t="shared" si="0"/>
        <v>0</v>
      </c>
      <c r="L11" s="159">
        <f t="shared" si="0"/>
        <v>0</v>
      </c>
    </row>
    <row r="12" spans="2:12" ht="12.75">
      <c r="B12" s="246" t="s">
        <v>480</v>
      </c>
      <c r="C12" s="246" t="s">
        <v>87</v>
      </c>
      <c r="E12" s="159">
        <f>$D$4*E11</f>
        <v>0</v>
      </c>
      <c r="F12" s="159">
        <f aca="true" t="shared" si="1" ref="F12:L12">$D$4*F11</f>
        <v>150.0123946367592</v>
      </c>
      <c r="G12" s="159">
        <f t="shared" si="1"/>
        <v>0</v>
      </c>
      <c r="H12" s="159">
        <f t="shared" si="1"/>
        <v>0</v>
      </c>
      <c r="I12" s="159">
        <f t="shared" si="1"/>
        <v>1434.679448601498</v>
      </c>
      <c r="J12" s="159">
        <f t="shared" si="1"/>
        <v>0</v>
      </c>
      <c r="K12" s="159">
        <f t="shared" si="1"/>
        <v>0</v>
      </c>
      <c r="L12" s="159">
        <f t="shared" si="1"/>
        <v>0</v>
      </c>
    </row>
    <row r="13" spans="2:12" ht="12.75">
      <c r="B13" s="246"/>
      <c r="C13" s="246"/>
      <c r="E13" s="220"/>
      <c r="F13" s="220"/>
      <c r="G13" s="220"/>
      <c r="H13" s="220"/>
      <c r="I13" s="220"/>
      <c r="J13" s="220"/>
      <c r="K13" s="220"/>
      <c r="L13" s="220"/>
    </row>
    <row r="14" spans="2:12" ht="12.75">
      <c r="B14" s="249" t="s">
        <v>78</v>
      </c>
      <c r="C14" s="246" t="s">
        <v>87</v>
      </c>
      <c r="E14" s="160">
        <f aca="true" t="shared" si="2" ref="E14:L14">E8+E12</f>
        <v>0</v>
      </c>
      <c r="F14" s="160">
        <f t="shared" si="2"/>
        <v>373.1683946367592</v>
      </c>
      <c r="G14" s="160">
        <f t="shared" si="2"/>
        <v>0</v>
      </c>
      <c r="H14" s="160">
        <f t="shared" si="2"/>
        <v>0</v>
      </c>
      <c r="I14" s="160">
        <f t="shared" si="2"/>
        <v>1772.871448601498</v>
      </c>
      <c r="J14" s="160">
        <f t="shared" si="2"/>
        <v>0</v>
      </c>
      <c r="K14" s="160">
        <f t="shared" si="2"/>
        <v>0</v>
      </c>
      <c r="L14" s="160">
        <f t="shared" si="2"/>
        <v>0</v>
      </c>
    </row>
    <row r="15" spans="2:12" ht="12.75">
      <c r="B15" s="249"/>
      <c r="C15" s="246"/>
      <c r="E15" s="241"/>
      <c r="F15" s="260"/>
      <c r="G15" s="241"/>
      <c r="H15" s="241"/>
      <c r="I15" s="260"/>
      <c r="J15" s="241"/>
      <c r="K15" s="241"/>
      <c r="L15" s="241"/>
    </row>
    <row r="16" spans="5:12" ht="12.75">
      <c r="E16" s="241"/>
      <c r="F16" s="260"/>
      <c r="G16" s="241"/>
      <c r="H16" s="241"/>
      <c r="I16" s="260"/>
      <c r="J16" s="241"/>
      <c r="K16" s="241"/>
      <c r="L16" s="241"/>
    </row>
    <row r="17" spans="2:12" s="244" customFormat="1" ht="12.75">
      <c r="B17" s="242" t="s">
        <v>73</v>
      </c>
      <c r="C17" s="242"/>
      <c r="D17" s="242"/>
      <c r="E17" s="243"/>
      <c r="F17" s="261"/>
      <c r="G17" s="243"/>
      <c r="H17" s="243"/>
      <c r="I17" s="261"/>
      <c r="J17" s="243"/>
      <c r="K17" s="243"/>
      <c r="L17" s="243"/>
    </row>
    <row r="18" spans="5:12" ht="12.75">
      <c r="E18" s="241"/>
      <c r="F18" s="260"/>
      <c r="G18" s="241"/>
      <c r="H18" s="241"/>
      <c r="I18" s="260"/>
      <c r="J18" s="241"/>
      <c r="K18" s="241"/>
      <c r="L18" s="241"/>
    </row>
    <row r="19" spans="2:12" ht="12.75">
      <c r="B19" s="256" t="s">
        <v>481</v>
      </c>
      <c r="C19" s="246" t="s">
        <v>91</v>
      </c>
      <c r="E19" s="210"/>
      <c r="F19" s="262">
        <v>135.047</v>
      </c>
      <c r="G19" s="210"/>
      <c r="H19" s="210"/>
      <c r="I19" s="262">
        <v>302.591</v>
      </c>
      <c r="J19" s="210"/>
      <c r="K19" s="210"/>
      <c r="L19" s="210"/>
    </row>
    <row r="20" spans="2:12" ht="12.75">
      <c r="B20" s="240" t="s">
        <v>76</v>
      </c>
      <c r="C20" s="246" t="s">
        <v>91</v>
      </c>
      <c r="E20" s="210"/>
      <c r="F20" s="262">
        <v>1450.3235241210132</v>
      </c>
      <c r="G20" s="210"/>
      <c r="H20" s="210"/>
      <c r="I20" s="262">
        <v>16578.866883194816</v>
      </c>
      <c r="J20" s="210"/>
      <c r="K20" s="210"/>
      <c r="L20" s="210"/>
    </row>
    <row r="21" spans="2:12" ht="12.75">
      <c r="B21" s="240" t="s">
        <v>77</v>
      </c>
      <c r="C21" s="246" t="s">
        <v>91</v>
      </c>
      <c r="E21" s="210"/>
      <c r="F21" s="262">
        <v>87.89839540127348</v>
      </c>
      <c r="G21" s="210"/>
      <c r="H21" s="210"/>
      <c r="I21" s="262">
        <v>789.7992381114442</v>
      </c>
      <c r="J21" s="210"/>
      <c r="K21" s="210"/>
      <c r="L21" s="210"/>
    </row>
    <row r="22" spans="2:12" ht="12.75">
      <c r="B22" s="246" t="s">
        <v>479</v>
      </c>
      <c r="C22" s="246" t="s">
        <v>91</v>
      </c>
      <c r="E22" s="159">
        <f aca="true" t="shared" si="3" ref="E22:L22">WACC2011*E20+E21</f>
        <v>0</v>
      </c>
      <c r="F22" s="159">
        <f t="shared" si="3"/>
        <v>177.8184538967763</v>
      </c>
      <c r="G22" s="159">
        <f t="shared" si="3"/>
        <v>0</v>
      </c>
      <c r="H22" s="159">
        <f t="shared" si="3"/>
        <v>0</v>
      </c>
      <c r="I22" s="159">
        <f t="shared" si="3"/>
        <v>1817.6889848695228</v>
      </c>
      <c r="J22" s="159">
        <f t="shared" si="3"/>
        <v>0</v>
      </c>
      <c r="K22" s="159">
        <f t="shared" si="3"/>
        <v>0</v>
      </c>
      <c r="L22" s="159">
        <f t="shared" si="3"/>
        <v>0</v>
      </c>
    </row>
    <row r="23" spans="2:12" ht="12.75">
      <c r="B23" s="246" t="s">
        <v>480</v>
      </c>
      <c r="C23" s="246" t="s">
        <v>91</v>
      </c>
      <c r="E23" s="159">
        <f aca="true" t="shared" si="4" ref="E23:L23">$D$4*E22</f>
        <v>0</v>
      </c>
      <c r="F23" s="159">
        <f t="shared" si="4"/>
        <v>147.5893167343243</v>
      </c>
      <c r="G23" s="159">
        <f t="shared" si="4"/>
        <v>0</v>
      </c>
      <c r="H23" s="159">
        <f t="shared" si="4"/>
        <v>0</v>
      </c>
      <c r="I23" s="159">
        <f t="shared" si="4"/>
        <v>1508.6818574417039</v>
      </c>
      <c r="J23" s="159">
        <f t="shared" si="4"/>
        <v>0</v>
      </c>
      <c r="K23" s="159">
        <f t="shared" si="4"/>
        <v>0</v>
      </c>
      <c r="L23" s="159">
        <f t="shared" si="4"/>
        <v>0</v>
      </c>
    </row>
    <row r="24" spans="2:12" ht="12.75">
      <c r="B24" s="246"/>
      <c r="C24" s="246"/>
      <c r="E24" s="220"/>
      <c r="F24" s="220"/>
      <c r="G24" s="220"/>
      <c r="H24" s="220"/>
      <c r="I24" s="220"/>
      <c r="J24" s="220"/>
      <c r="K24" s="220"/>
      <c r="L24" s="220"/>
    </row>
    <row r="25" spans="2:12" ht="12.75">
      <c r="B25" s="249" t="s">
        <v>78</v>
      </c>
      <c r="C25" s="246" t="s">
        <v>91</v>
      </c>
      <c r="E25" s="160">
        <f>E19+E23</f>
        <v>0</v>
      </c>
      <c r="F25" s="160">
        <f aca="true" t="shared" si="5" ref="F25:L25">F19+F23</f>
        <v>282.6363167343243</v>
      </c>
      <c r="G25" s="160">
        <f t="shared" si="5"/>
        <v>0</v>
      </c>
      <c r="H25" s="160">
        <f t="shared" si="5"/>
        <v>0</v>
      </c>
      <c r="I25" s="160">
        <f t="shared" si="5"/>
        <v>1811.2728574417038</v>
      </c>
      <c r="J25" s="160">
        <f t="shared" si="5"/>
        <v>0</v>
      </c>
      <c r="K25" s="160">
        <f t="shared" si="5"/>
        <v>0</v>
      </c>
      <c r="L25" s="160">
        <f t="shared" si="5"/>
        <v>0</v>
      </c>
    </row>
    <row r="26" spans="5:12" ht="12.75">
      <c r="E26" s="241"/>
      <c r="F26" s="260"/>
      <c r="G26" s="241"/>
      <c r="H26" s="241"/>
      <c r="I26" s="260"/>
      <c r="J26" s="241"/>
      <c r="K26" s="241"/>
      <c r="L26" s="241"/>
    </row>
    <row r="27" spans="5:12" ht="12.75">
      <c r="E27" s="241"/>
      <c r="F27" s="260"/>
      <c r="G27" s="241"/>
      <c r="H27" s="241"/>
      <c r="I27" s="260"/>
      <c r="J27" s="241"/>
      <c r="K27" s="241"/>
      <c r="L27" s="241"/>
    </row>
    <row r="28" spans="2:12" s="244" customFormat="1" ht="12.75">
      <c r="B28" s="242" t="s">
        <v>74</v>
      </c>
      <c r="C28" s="242"/>
      <c r="D28" s="242"/>
      <c r="E28" s="243"/>
      <c r="F28" s="261"/>
      <c r="G28" s="243"/>
      <c r="H28" s="243"/>
      <c r="I28" s="261"/>
      <c r="J28" s="243"/>
      <c r="K28" s="243"/>
      <c r="L28" s="243"/>
    </row>
    <row r="29" spans="5:12" ht="12.75">
      <c r="E29" s="241"/>
      <c r="F29" s="260"/>
      <c r="G29" s="241"/>
      <c r="H29" s="241"/>
      <c r="I29" s="260"/>
      <c r="J29" s="241"/>
      <c r="K29" s="241"/>
      <c r="L29" s="241"/>
    </row>
    <row r="30" spans="2:12" ht="12.75">
      <c r="B30" s="256" t="s">
        <v>481</v>
      </c>
      <c r="C30" s="246" t="s">
        <v>93</v>
      </c>
      <c r="E30" s="210"/>
      <c r="F30" s="262">
        <v>144.854</v>
      </c>
      <c r="G30" s="210"/>
      <c r="H30" s="210"/>
      <c r="I30" s="262">
        <v>498.594</v>
      </c>
      <c r="J30" s="210"/>
      <c r="K30" s="210"/>
      <c r="L30" s="210"/>
    </row>
    <row r="31" spans="2:12" ht="12.75">
      <c r="B31" s="240" t="s">
        <v>76</v>
      </c>
      <c r="C31" s="246" t="s">
        <v>93</v>
      </c>
      <c r="E31" s="210"/>
      <c r="F31" s="262">
        <v>1377.4118051356568</v>
      </c>
      <c r="G31" s="210"/>
      <c r="H31" s="210"/>
      <c r="I31" s="262">
        <v>17113.690479369292</v>
      </c>
      <c r="J31" s="210"/>
      <c r="K31" s="210"/>
      <c r="L31" s="210"/>
    </row>
    <row r="32" spans="2:12" ht="12.75">
      <c r="B32" s="240" t="s">
        <v>77</v>
      </c>
      <c r="C32" s="246" t="s">
        <v>93</v>
      </c>
      <c r="E32" s="210"/>
      <c r="F32" s="262">
        <v>88.86527775068747</v>
      </c>
      <c r="G32" s="210"/>
      <c r="H32" s="210"/>
      <c r="I32" s="262">
        <v>818.4179395406701</v>
      </c>
      <c r="J32" s="210"/>
      <c r="K32" s="210"/>
      <c r="L32" s="210"/>
    </row>
    <row r="33" spans="2:12" ht="12.75">
      <c r="B33" s="246" t="s">
        <v>479</v>
      </c>
      <c r="C33" s="246" t="s">
        <v>93</v>
      </c>
      <c r="E33" s="159">
        <f aca="true" t="shared" si="6" ref="E33:L33">WACC2011*E31+E32</f>
        <v>0</v>
      </c>
      <c r="F33" s="159">
        <f t="shared" si="6"/>
        <v>174.26480966909818</v>
      </c>
      <c r="G33" s="159">
        <f t="shared" si="6"/>
        <v>0</v>
      </c>
      <c r="H33" s="159">
        <f t="shared" si="6"/>
        <v>0</v>
      </c>
      <c r="I33" s="159">
        <f t="shared" si="6"/>
        <v>1879.4667492615663</v>
      </c>
      <c r="J33" s="159">
        <f t="shared" si="6"/>
        <v>0</v>
      </c>
      <c r="K33" s="159">
        <f t="shared" si="6"/>
        <v>0</v>
      </c>
      <c r="L33" s="159">
        <f t="shared" si="6"/>
        <v>0</v>
      </c>
    </row>
    <row r="34" spans="2:12" ht="12.75">
      <c r="B34" s="246" t="s">
        <v>480</v>
      </c>
      <c r="C34" s="246" t="s">
        <v>93</v>
      </c>
      <c r="E34" s="159">
        <f aca="true" t="shared" si="7" ref="E34:L34">$D$4*E33</f>
        <v>0</v>
      </c>
      <c r="F34" s="159">
        <f t="shared" si="7"/>
        <v>144.63979202535148</v>
      </c>
      <c r="G34" s="159">
        <f t="shared" si="7"/>
        <v>0</v>
      </c>
      <c r="H34" s="159">
        <f t="shared" si="7"/>
        <v>0</v>
      </c>
      <c r="I34" s="159">
        <f t="shared" si="7"/>
        <v>1559.9574018870999</v>
      </c>
      <c r="J34" s="159">
        <f t="shared" si="7"/>
        <v>0</v>
      </c>
      <c r="K34" s="159">
        <f t="shared" si="7"/>
        <v>0</v>
      </c>
      <c r="L34" s="159">
        <f t="shared" si="7"/>
        <v>0</v>
      </c>
    </row>
    <row r="35" spans="2:12" ht="12.75">
      <c r="B35" s="246"/>
      <c r="C35" s="246"/>
      <c r="E35" s="220"/>
      <c r="F35" s="220"/>
      <c r="G35" s="220"/>
      <c r="H35" s="220"/>
      <c r="I35" s="220"/>
      <c r="J35" s="220"/>
      <c r="K35" s="220"/>
      <c r="L35" s="220"/>
    </row>
    <row r="36" spans="2:12" ht="12.75">
      <c r="B36" s="249" t="s">
        <v>78</v>
      </c>
      <c r="C36" s="246" t="s">
        <v>93</v>
      </c>
      <c r="E36" s="160">
        <f>E30+E34</f>
        <v>0</v>
      </c>
      <c r="F36" s="160">
        <f aca="true" t="shared" si="8" ref="F36:L36">F30+F34</f>
        <v>289.49379202535147</v>
      </c>
      <c r="G36" s="160">
        <f t="shared" si="8"/>
        <v>0</v>
      </c>
      <c r="H36" s="160">
        <f t="shared" si="8"/>
        <v>0</v>
      </c>
      <c r="I36" s="160">
        <f t="shared" si="8"/>
        <v>2058.5514018871</v>
      </c>
      <c r="J36" s="160">
        <f t="shared" si="8"/>
        <v>0</v>
      </c>
      <c r="K36" s="160">
        <f t="shared" si="8"/>
        <v>0</v>
      </c>
      <c r="L36" s="160">
        <f t="shared" si="8"/>
        <v>0</v>
      </c>
    </row>
    <row r="37" spans="5:12" ht="12.75">
      <c r="E37" s="241"/>
      <c r="F37" s="260"/>
      <c r="G37" s="241"/>
      <c r="H37" s="241"/>
      <c r="I37" s="260"/>
      <c r="J37" s="241"/>
      <c r="K37" s="241"/>
      <c r="L37" s="241"/>
    </row>
    <row r="38" spans="5:12" ht="12.75">
      <c r="E38" s="241"/>
      <c r="F38" s="260"/>
      <c r="G38" s="241"/>
      <c r="H38" s="241"/>
      <c r="I38" s="260"/>
      <c r="J38" s="241"/>
      <c r="K38" s="241"/>
      <c r="L38" s="241"/>
    </row>
    <row r="39" spans="2:12" s="244" customFormat="1" ht="12.75">
      <c r="B39" s="242" t="s">
        <v>75</v>
      </c>
      <c r="C39" s="242"/>
      <c r="D39" s="242"/>
      <c r="E39" s="243"/>
      <c r="F39" s="261"/>
      <c r="G39" s="243"/>
      <c r="H39" s="243"/>
      <c r="I39" s="261"/>
      <c r="J39" s="243"/>
      <c r="K39" s="243"/>
      <c r="L39" s="243"/>
    </row>
    <row r="40" spans="5:12" ht="12.75">
      <c r="E40" s="241"/>
      <c r="F40" s="260"/>
      <c r="G40" s="241"/>
      <c r="H40" s="241"/>
      <c r="I40" s="260"/>
      <c r="J40" s="241"/>
      <c r="K40" s="241"/>
      <c r="L40" s="241"/>
    </row>
    <row r="41" spans="2:12" ht="12.75">
      <c r="B41" s="256" t="s">
        <v>481</v>
      </c>
      <c r="C41" s="246" t="s">
        <v>94</v>
      </c>
      <c r="E41" s="210"/>
      <c r="F41" s="274">
        <v>265</v>
      </c>
      <c r="G41" s="210"/>
      <c r="H41" s="210"/>
      <c r="I41" s="274">
        <v>415</v>
      </c>
      <c r="J41" s="210"/>
      <c r="K41" s="210"/>
      <c r="L41" s="210"/>
    </row>
    <row r="42" spans="2:12" ht="12.75">
      <c r="B42" s="240" t="s">
        <v>76</v>
      </c>
      <c r="C42" s="246" t="s">
        <v>94</v>
      </c>
      <c r="E42" s="210"/>
      <c r="F42" s="274">
        <v>1329.7800162612884</v>
      </c>
      <c r="G42" s="231"/>
      <c r="H42" s="231"/>
      <c r="I42" s="274">
        <v>16804.637841423137</v>
      </c>
      <c r="J42" s="210"/>
      <c r="K42" s="210"/>
      <c r="L42" s="210"/>
    </row>
    <row r="43" spans="2:12" ht="12.75">
      <c r="B43" s="240" t="s">
        <v>77</v>
      </c>
      <c r="C43" s="246" t="s">
        <v>94</v>
      </c>
      <c r="E43" s="210"/>
      <c r="F43" s="274">
        <v>91.70896663870947</v>
      </c>
      <c r="G43" s="231"/>
      <c r="H43" s="231"/>
      <c r="I43" s="274">
        <v>856.6907332859715</v>
      </c>
      <c r="J43" s="210"/>
      <c r="K43" s="210"/>
      <c r="L43" s="210"/>
    </row>
    <row r="44" spans="2:12" ht="12.75">
      <c r="B44" s="246" t="s">
        <v>479</v>
      </c>
      <c r="C44" s="246" t="s">
        <v>94</v>
      </c>
      <c r="E44" s="159">
        <f aca="true" t="shared" si="9" ref="E44:L44">WACC2011*E42+E43</f>
        <v>0</v>
      </c>
      <c r="F44" s="159">
        <f t="shared" si="9"/>
        <v>174.15532764690937</v>
      </c>
      <c r="G44" s="159">
        <f t="shared" si="9"/>
        <v>0</v>
      </c>
      <c r="H44" s="159">
        <f t="shared" si="9"/>
        <v>0</v>
      </c>
      <c r="I44" s="159">
        <f t="shared" si="9"/>
        <v>1898.578279454206</v>
      </c>
      <c r="J44" s="159">
        <f t="shared" si="9"/>
        <v>0</v>
      </c>
      <c r="K44" s="159">
        <f t="shared" si="9"/>
        <v>0</v>
      </c>
      <c r="L44" s="159">
        <f t="shared" si="9"/>
        <v>0</v>
      </c>
    </row>
    <row r="45" spans="2:12" ht="12.75">
      <c r="B45" s="246" t="s">
        <v>480</v>
      </c>
      <c r="C45" s="246" t="s">
        <v>94</v>
      </c>
      <c r="E45" s="159">
        <f aca="true" t="shared" si="10" ref="E45:L45">$D$4*E44</f>
        <v>0</v>
      </c>
      <c r="F45" s="159">
        <f t="shared" si="10"/>
        <v>144.54892194693477</v>
      </c>
      <c r="G45" s="159">
        <f t="shared" si="10"/>
        <v>0</v>
      </c>
      <c r="H45" s="159">
        <f t="shared" si="10"/>
        <v>0</v>
      </c>
      <c r="I45" s="159">
        <f t="shared" si="10"/>
        <v>1575.819971946991</v>
      </c>
      <c r="J45" s="159">
        <f t="shared" si="10"/>
        <v>0</v>
      </c>
      <c r="K45" s="159">
        <f t="shared" si="10"/>
        <v>0</v>
      </c>
      <c r="L45" s="159">
        <f t="shared" si="10"/>
        <v>0</v>
      </c>
    </row>
    <row r="46" spans="2:12" ht="12.75">
      <c r="B46" s="246"/>
      <c r="C46" s="246"/>
      <c r="E46" s="220"/>
      <c r="F46" s="220"/>
      <c r="G46" s="220"/>
      <c r="H46" s="220"/>
      <c r="I46" s="220"/>
      <c r="J46" s="220"/>
      <c r="K46" s="220"/>
      <c r="L46" s="220"/>
    </row>
    <row r="47" spans="2:12" ht="12.75">
      <c r="B47" s="249" t="s">
        <v>30</v>
      </c>
      <c r="C47" s="246" t="s">
        <v>94</v>
      </c>
      <c r="E47" s="160">
        <f>E41+E45</f>
        <v>0</v>
      </c>
      <c r="F47" s="160">
        <f aca="true" t="shared" si="11" ref="F47:L47">F41+F45</f>
        <v>409.5489219469348</v>
      </c>
      <c r="G47" s="160">
        <f t="shared" si="11"/>
        <v>0</v>
      </c>
      <c r="H47" s="160">
        <f t="shared" si="11"/>
        <v>0</v>
      </c>
      <c r="I47" s="160">
        <f t="shared" si="11"/>
        <v>1990.819971946991</v>
      </c>
      <c r="J47" s="160">
        <f t="shared" si="11"/>
        <v>0</v>
      </c>
      <c r="K47" s="160">
        <f t="shared" si="11"/>
        <v>0</v>
      </c>
      <c r="L47" s="160">
        <f t="shared" si="11"/>
        <v>0</v>
      </c>
    </row>
    <row r="48" spans="2:12" ht="12.75">
      <c r="B48" s="232"/>
      <c r="E48" s="241"/>
      <c r="F48" s="241"/>
      <c r="G48" s="241"/>
      <c r="H48" s="241"/>
      <c r="I48" s="241"/>
      <c r="J48" s="241"/>
      <c r="K48" s="241"/>
      <c r="L48" s="241"/>
    </row>
    <row r="49" spans="5:12" ht="12.75">
      <c r="E49" s="241"/>
      <c r="F49" s="241"/>
      <c r="G49" s="241"/>
      <c r="H49" s="241"/>
      <c r="I49" s="241"/>
      <c r="J49" s="241"/>
      <c r="K49" s="241"/>
      <c r="L49" s="241"/>
    </row>
    <row r="50" spans="2:12" s="244" customFormat="1" ht="12.75">
      <c r="B50" s="242" t="s">
        <v>81</v>
      </c>
      <c r="C50" s="242"/>
      <c r="D50" s="242"/>
      <c r="E50" s="243"/>
      <c r="F50" s="243"/>
      <c r="G50" s="243"/>
      <c r="H50" s="243"/>
      <c r="I50" s="243"/>
      <c r="J50" s="243"/>
      <c r="K50" s="243"/>
      <c r="L50" s="243"/>
    </row>
    <row r="51" spans="5:12" ht="12.75">
      <c r="E51" s="241"/>
      <c r="F51" s="241"/>
      <c r="G51" s="241"/>
      <c r="H51" s="241"/>
      <c r="I51" s="241"/>
      <c r="J51" s="241"/>
      <c r="K51" s="241"/>
      <c r="L51" s="241"/>
    </row>
    <row r="52" spans="2:12" ht="12.75">
      <c r="B52" s="246" t="s">
        <v>26</v>
      </c>
      <c r="C52" s="246" t="s">
        <v>97</v>
      </c>
      <c r="E52" s="159">
        <v>0</v>
      </c>
      <c r="F52" s="159">
        <v>410.7775687127756</v>
      </c>
      <c r="G52" s="159">
        <v>0</v>
      </c>
      <c r="H52" s="159">
        <v>0</v>
      </c>
      <c r="I52" s="159">
        <v>1996.7924318628318</v>
      </c>
      <c r="J52" s="159">
        <v>0</v>
      </c>
      <c r="K52" s="159">
        <v>0</v>
      </c>
      <c r="L52" s="159">
        <v>0</v>
      </c>
    </row>
    <row r="53" spans="2:12" ht="12.75">
      <c r="B53" s="249" t="s">
        <v>27</v>
      </c>
      <c r="C53" s="246" t="s">
        <v>97</v>
      </c>
      <c r="E53" s="160">
        <f>E52</f>
        <v>0</v>
      </c>
      <c r="F53" s="160">
        <f aca="true" t="shared" si="12" ref="F53:L53">F52</f>
        <v>410.7775687127756</v>
      </c>
      <c r="G53" s="160">
        <f t="shared" si="12"/>
        <v>0</v>
      </c>
      <c r="H53" s="160">
        <f t="shared" si="12"/>
        <v>0</v>
      </c>
      <c r="I53" s="160">
        <f t="shared" si="12"/>
        <v>1996.7924318628318</v>
      </c>
      <c r="J53" s="160">
        <f t="shared" si="12"/>
        <v>0</v>
      </c>
      <c r="K53" s="160">
        <f t="shared" si="12"/>
        <v>0</v>
      </c>
      <c r="L53" s="160">
        <f t="shared" si="12"/>
        <v>0</v>
      </c>
    </row>
    <row r="54" spans="5:12" ht="12.75">
      <c r="E54" s="241"/>
      <c r="F54" s="241"/>
      <c r="G54" s="241"/>
      <c r="H54" s="241"/>
      <c r="I54" s="241"/>
      <c r="J54" s="241"/>
      <c r="K54" s="241"/>
      <c r="L54" s="241"/>
    </row>
    <row r="55" spans="5:12" ht="12.75">
      <c r="E55" s="241"/>
      <c r="F55" s="241"/>
      <c r="G55" s="241"/>
      <c r="H55" s="241"/>
      <c r="I55" s="241"/>
      <c r="J55" s="241"/>
      <c r="K55" s="241"/>
      <c r="L55" s="241"/>
    </row>
    <row r="56" spans="2:12" s="244" customFormat="1" ht="12.75">
      <c r="B56" s="242" t="s">
        <v>82</v>
      </c>
      <c r="C56" s="242"/>
      <c r="D56" s="242"/>
      <c r="E56" s="243"/>
      <c r="F56" s="243"/>
      <c r="G56" s="243"/>
      <c r="H56" s="243"/>
      <c r="I56" s="243"/>
      <c r="J56" s="243"/>
      <c r="K56" s="243"/>
      <c r="L56" s="243"/>
    </row>
    <row r="57" spans="5:12" ht="12.75">
      <c r="E57" s="241"/>
      <c r="F57" s="241"/>
      <c r="G57" s="241"/>
      <c r="H57" s="241"/>
      <c r="I57" s="241"/>
      <c r="J57" s="241"/>
      <c r="K57" s="241"/>
      <c r="L57" s="241"/>
    </row>
    <row r="58" spans="2:12" ht="12.75">
      <c r="B58" s="256" t="s">
        <v>481</v>
      </c>
      <c r="C58" s="246" t="s">
        <v>94</v>
      </c>
      <c r="E58" s="159">
        <f>E41</f>
        <v>0</v>
      </c>
      <c r="F58" s="159">
        <f>F41</f>
        <v>265</v>
      </c>
      <c r="G58" s="159">
        <f aca="true" t="shared" si="13" ref="G58:L58">G41</f>
        <v>0</v>
      </c>
      <c r="H58" s="159">
        <f t="shared" si="13"/>
        <v>0</v>
      </c>
      <c r="I58" s="159">
        <f t="shared" si="13"/>
        <v>415</v>
      </c>
      <c r="J58" s="159">
        <f t="shared" si="13"/>
        <v>0</v>
      </c>
      <c r="K58" s="159">
        <f t="shared" si="13"/>
        <v>0</v>
      </c>
      <c r="L58" s="159">
        <f t="shared" si="13"/>
        <v>0</v>
      </c>
    </row>
    <row r="59" spans="2:12" ht="12.75">
      <c r="B59" s="240" t="s">
        <v>482</v>
      </c>
      <c r="C59" s="246" t="s">
        <v>94</v>
      </c>
      <c r="E59" s="159">
        <v>0</v>
      </c>
      <c r="F59" s="159">
        <v>136.82290005245667</v>
      </c>
      <c r="G59" s="159">
        <v>0</v>
      </c>
      <c r="H59" s="159">
        <v>0</v>
      </c>
      <c r="I59" s="159">
        <v>1478.1850260883225</v>
      </c>
      <c r="J59" s="159">
        <v>0</v>
      </c>
      <c r="K59" s="159">
        <v>0</v>
      </c>
      <c r="L59" s="159">
        <v>0</v>
      </c>
    </row>
    <row r="60" spans="2:12" ht="12.75">
      <c r="B60" s="240" t="s">
        <v>80</v>
      </c>
      <c r="C60" s="246" t="s">
        <v>94</v>
      </c>
      <c r="E60" s="159">
        <f aca="true" t="shared" si="14" ref="E60:L60">SUM(E58:E59)</f>
        <v>0</v>
      </c>
      <c r="F60" s="159">
        <f t="shared" si="14"/>
        <v>401.8229000524567</v>
      </c>
      <c r="G60" s="159">
        <f t="shared" si="14"/>
        <v>0</v>
      </c>
      <c r="H60" s="159">
        <f t="shared" si="14"/>
        <v>0</v>
      </c>
      <c r="I60" s="159">
        <f t="shared" si="14"/>
        <v>1893.1850260883225</v>
      </c>
      <c r="J60" s="159">
        <f t="shared" si="14"/>
        <v>0</v>
      </c>
      <c r="K60" s="159">
        <f t="shared" si="14"/>
        <v>0</v>
      </c>
      <c r="L60" s="159">
        <f t="shared" si="14"/>
        <v>0</v>
      </c>
    </row>
    <row r="61" spans="3:12" ht="12.75">
      <c r="C61" s="246"/>
      <c r="E61" s="250"/>
      <c r="F61" s="250"/>
      <c r="G61" s="250"/>
      <c r="H61" s="250"/>
      <c r="I61" s="250"/>
      <c r="J61" s="250"/>
      <c r="K61" s="250"/>
      <c r="L61" s="250"/>
    </row>
    <row r="62" spans="2:12" ht="12.75">
      <c r="B62" s="240" t="s">
        <v>84</v>
      </c>
      <c r="C62" s="246" t="s">
        <v>94</v>
      </c>
      <c r="D62" s="159">
        <f>Kosten!D130-SUM('ORV Lokale Heffingen'!E71:L71)-SUM(E60:L60)</f>
        <v>2557990.322239771</v>
      </c>
      <c r="E62" s="250"/>
      <c r="F62" s="250"/>
      <c r="G62" s="250"/>
      <c r="H62" s="250"/>
      <c r="I62" s="250"/>
      <c r="J62" s="250"/>
      <c r="K62" s="250"/>
      <c r="L62" s="250"/>
    </row>
    <row r="63" spans="2:12" ht="12.75">
      <c r="B63" s="240" t="s">
        <v>29</v>
      </c>
      <c r="C63" s="246" t="s">
        <v>57</v>
      </c>
      <c r="D63" s="209">
        <f>SUM(E60:L60)/(D62+SUM(E60:L60))</f>
        <v>0.0008963875623940937</v>
      </c>
      <c r="E63" s="250"/>
      <c r="F63" s="250"/>
      <c r="G63" s="250"/>
      <c r="H63" s="250"/>
      <c r="I63" s="250"/>
      <c r="J63" s="250"/>
      <c r="K63" s="250"/>
      <c r="L63" s="250"/>
    </row>
    <row r="64" spans="3:12" ht="12.75">
      <c r="C64" s="246"/>
      <c r="D64" s="250"/>
      <c r="E64" s="250"/>
      <c r="F64" s="250"/>
      <c r="G64" s="250"/>
      <c r="H64" s="250"/>
      <c r="I64" s="250"/>
      <c r="J64" s="250"/>
      <c r="K64" s="250"/>
      <c r="L64" s="250"/>
    </row>
    <row r="65" spans="2:12" ht="12.75">
      <c r="B65" s="240" t="s">
        <v>28</v>
      </c>
      <c r="C65" s="246" t="s">
        <v>57</v>
      </c>
      <c r="E65" s="209">
        <f>E60/((SO!E38/SO!$M$38)*$D$62+E60)</f>
        <v>0</v>
      </c>
      <c r="F65" s="209">
        <f>F60/((SO!F38/SO!$M$38)*$D$62+F60)</f>
        <v>0.006093967618127488</v>
      </c>
      <c r="G65" s="209">
        <f>G60/((SO!G38/SO!$M$38)*$D$62+G60)</f>
        <v>0</v>
      </c>
      <c r="H65" s="209">
        <f>H60/((SO!H38/SO!$M$38)*$D$62+H60)</f>
        <v>0</v>
      </c>
      <c r="I65" s="209">
        <f>I60/((SO!I38/SO!$M$38)*$D$62+I60)</f>
        <v>0.0021420859765497848</v>
      </c>
      <c r="J65" s="209">
        <f>J60/((SO!J38/SO!$M$38)*$D$62+J60)</f>
        <v>0</v>
      </c>
      <c r="K65" s="209">
        <f>K60/((SO!K38/SO!$M$38)*$D$62+K60)</f>
        <v>0</v>
      </c>
      <c r="L65" s="209">
        <f>L60/((SO!L38/SO!$M$38)*$D$62+L60)</f>
        <v>0</v>
      </c>
    </row>
    <row r="66" spans="2:12" ht="12.75">
      <c r="B66" s="245" t="s">
        <v>101</v>
      </c>
      <c r="C66" s="246"/>
      <c r="E66" s="251" t="str">
        <f aca="true" t="shared" si="15" ref="E66:L66">IF(ABS(E65-$D$63)&gt;1%,"ja","nee")</f>
        <v>nee</v>
      </c>
      <c r="F66" s="251" t="str">
        <f t="shared" si="15"/>
        <v>nee</v>
      </c>
      <c r="G66" s="251" t="str">
        <f t="shared" si="15"/>
        <v>nee</v>
      </c>
      <c r="H66" s="251" t="str">
        <f t="shared" si="15"/>
        <v>nee</v>
      </c>
      <c r="I66" s="251" t="str">
        <f t="shared" si="15"/>
        <v>nee</v>
      </c>
      <c r="J66" s="251" t="str">
        <f t="shared" si="15"/>
        <v>nee</v>
      </c>
      <c r="K66" s="251" t="str">
        <f t="shared" si="15"/>
        <v>nee</v>
      </c>
      <c r="L66" s="251" t="str">
        <f t="shared" si="15"/>
        <v>nee</v>
      </c>
    </row>
    <row r="67" spans="3:12" ht="12.75">
      <c r="C67" s="246"/>
      <c r="E67" s="241"/>
      <c r="F67" s="241"/>
      <c r="G67" s="241"/>
      <c r="H67" s="241"/>
      <c r="I67" s="241"/>
      <c r="J67" s="241"/>
      <c r="K67" s="241"/>
      <c r="L67" s="241"/>
    </row>
    <row r="68" spans="5:12" ht="12.75">
      <c r="E68" s="263"/>
      <c r="F68" s="263"/>
      <c r="G68" s="263"/>
      <c r="H68" s="263"/>
      <c r="I68" s="263"/>
      <c r="J68" s="263"/>
      <c r="K68" s="263"/>
      <c r="L68" s="263"/>
    </row>
    <row r="69" spans="5:12" ht="12.75">
      <c r="E69" s="241"/>
      <c r="F69" s="241"/>
      <c r="G69" s="241"/>
      <c r="H69" s="241"/>
      <c r="I69" s="241"/>
      <c r="J69" s="241"/>
      <c r="K69" s="241"/>
      <c r="L69" s="241"/>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Blad21"/>
  <dimension ref="A2:T23"/>
  <sheetViews>
    <sheetView showGridLines="0" zoomScale="85" zoomScaleNormal="85" workbookViewId="0" topLeftCell="A1">
      <selection activeCell="A1" sqref="A1"/>
    </sheetView>
  </sheetViews>
  <sheetFormatPr defaultColWidth="9.140625" defaultRowHeight="12.75"/>
  <cols>
    <col min="1" max="1" width="2.7109375" style="24" customWidth="1"/>
    <col min="2" max="2" width="36.8515625" style="24" customWidth="1"/>
    <col min="3" max="10" width="11.28125" style="32" customWidth="1"/>
    <col min="11" max="11" width="6.00390625" style="32" customWidth="1"/>
    <col min="12" max="12" width="17.7109375" style="32" customWidth="1"/>
    <col min="13" max="16384" width="9.140625" style="32" customWidth="1"/>
  </cols>
  <sheetData>
    <row r="2" spans="1:8" s="2" customFormat="1" ht="60.75" customHeight="1">
      <c r="A2" s="35"/>
      <c r="B2" s="3" t="s">
        <v>499</v>
      </c>
      <c r="C2" s="4"/>
      <c r="D2" s="4"/>
      <c r="E2" s="4"/>
      <c r="F2" s="4"/>
      <c r="G2" s="4"/>
      <c r="H2" s="25"/>
    </row>
    <row r="3" s="34" customFormat="1" ht="12.75"/>
    <row r="4" spans="1:2" s="5" customFormat="1" ht="12.75">
      <c r="A4" s="36"/>
      <c r="B4" s="292" t="s">
        <v>248</v>
      </c>
    </row>
    <row r="5" s="34" customFormat="1" ht="12.75"/>
    <row r="6" spans="2:12" s="34" customFormat="1" ht="12.75">
      <c r="B6" s="293" t="s">
        <v>245</v>
      </c>
      <c r="C6" s="193"/>
      <c r="D6" s="193"/>
      <c r="E6" s="193"/>
      <c r="F6" s="193"/>
      <c r="G6" s="193"/>
      <c r="H6" s="193"/>
      <c r="I6" s="193"/>
      <c r="J6" s="193"/>
      <c r="K6" s="193"/>
      <c r="L6" s="193"/>
    </row>
    <row r="7" spans="2:12" s="34" customFormat="1" ht="12.75">
      <c r="B7" s="293"/>
      <c r="C7" s="193"/>
      <c r="D7" s="193"/>
      <c r="E7" s="193"/>
      <c r="F7" s="193"/>
      <c r="G7" s="193"/>
      <c r="H7" s="193"/>
      <c r="I7" s="193"/>
      <c r="J7" s="193"/>
      <c r="K7" s="193"/>
      <c r="L7" s="193"/>
    </row>
    <row r="8" spans="2:12" s="34" customFormat="1" ht="12.75">
      <c r="B8" s="87" t="s">
        <v>500</v>
      </c>
      <c r="C8" s="193"/>
      <c r="D8" s="193"/>
      <c r="E8" s="193"/>
      <c r="F8" s="193"/>
      <c r="G8" s="193"/>
      <c r="H8" s="193"/>
      <c r="I8" s="193"/>
      <c r="J8" s="193"/>
      <c r="K8" s="193"/>
      <c r="L8" s="193"/>
    </row>
    <row r="9" spans="2:12" s="34" customFormat="1" ht="12.75">
      <c r="B9" s="87" t="s">
        <v>501</v>
      </c>
      <c r="C9" s="294"/>
      <c r="D9" s="193"/>
      <c r="E9" s="193"/>
      <c r="F9" s="193"/>
      <c r="G9" s="193"/>
      <c r="H9" s="193"/>
      <c r="I9" s="193"/>
      <c r="J9" s="193"/>
      <c r="K9" s="193"/>
      <c r="L9" s="193"/>
    </row>
    <row r="10" spans="2:12" s="34" customFormat="1" ht="12.75">
      <c r="B10" s="607" t="s">
        <v>20</v>
      </c>
      <c r="C10" s="294"/>
      <c r="D10" s="193"/>
      <c r="E10" s="193"/>
      <c r="F10" s="193"/>
      <c r="G10" s="193"/>
      <c r="H10" s="193"/>
      <c r="I10" s="193"/>
      <c r="J10" s="193"/>
      <c r="K10" s="193"/>
      <c r="L10" s="193"/>
    </row>
    <row r="11" spans="2:12" s="34" customFormat="1" ht="12.75">
      <c r="B11" s="87"/>
      <c r="C11" s="294"/>
      <c r="D11" s="193"/>
      <c r="E11" s="193"/>
      <c r="F11" s="193"/>
      <c r="G11" s="193"/>
      <c r="H11" s="193"/>
      <c r="I11" s="193"/>
      <c r="J11" s="193"/>
      <c r="K11" s="193"/>
      <c r="L11" s="193"/>
    </row>
    <row r="12" spans="1:13" ht="12.75">
      <c r="A12" s="85"/>
      <c r="B12" s="193"/>
      <c r="C12" s="193"/>
      <c r="D12" s="193"/>
      <c r="E12" s="193"/>
      <c r="F12" s="193"/>
      <c r="G12" s="193"/>
      <c r="H12" s="193"/>
      <c r="I12" s="193"/>
      <c r="J12" s="193"/>
      <c r="K12" s="193"/>
      <c r="L12" s="193"/>
      <c r="M12" s="34"/>
    </row>
    <row r="13" spans="1:20" ht="12.75">
      <c r="A13" s="85"/>
      <c r="B13" s="295" t="s">
        <v>502</v>
      </c>
      <c r="C13" s="296" t="s">
        <v>139</v>
      </c>
      <c r="D13" s="296" t="s">
        <v>58</v>
      </c>
      <c r="E13" s="296" t="s">
        <v>388</v>
      </c>
      <c r="F13" s="296" t="s">
        <v>141</v>
      </c>
      <c r="G13" s="296" t="s">
        <v>142</v>
      </c>
      <c r="H13" s="296" t="s">
        <v>143</v>
      </c>
      <c r="I13" s="296" t="s">
        <v>140</v>
      </c>
      <c r="J13" s="296" t="s">
        <v>59</v>
      </c>
      <c r="K13" s="193"/>
      <c r="L13" s="295" t="s">
        <v>21</v>
      </c>
      <c r="N13" s="81"/>
      <c r="O13" s="81"/>
      <c r="P13" s="81"/>
      <c r="Q13" s="115"/>
      <c r="R13" s="81"/>
      <c r="S13" s="81"/>
      <c r="T13" s="81"/>
    </row>
    <row r="14" spans="1:20" ht="12.75">
      <c r="A14" s="85"/>
      <c r="B14" s="295"/>
      <c r="C14" s="296"/>
      <c r="D14" s="296"/>
      <c r="E14" s="296"/>
      <c r="F14" s="296"/>
      <c r="G14" s="296"/>
      <c r="H14" s="296"/>
      <c r="I14" s="296"/>
      <c r="J14" s="296"/>
      <c r="K14" s="193"/>
      <c r="L14" s="295"/>
      <c r="N14" s="81"/>
      <c r="O14" s="81"/>
      <c r="P14" s="81"/>
      <c r="Q14" s="115"/>
      <c r="R14" s="81"/>
      <c r="S14" s="81"/>
      <c r="T14" s="81"/>
    </row>
    <row r="15" spans="1:12" ht="12.75">
      <c r="A15" s="85"/>
      <c r="B15" s="198" t="s">
        <v>239</v>
      </c>
      <c r="C15" s="193"/>
      <c r="D15" s="193"/>
      <c r="E15" s="193"/>
      <c r="F15" s="193"/>
      <c r="G15" s="193"/>
      <c r="H15" s="193"/>
      <c r="I15" s="193"/>
      <c r="J15" s="193"/>
      <c r="K15" s="193"/>
      <c r="L15" s="599">
        <v>0.05</v>
      </c>
    </row>
    <row r="16" spans="1:12" ht="12.75">
      <c r="A16" s="85"/>
      <c r="B16" s="198" t="s">
        <v>494</v>
      </c>
      <c r="C16" s="193"/>
      <c r="D16" s="193"/>
      <c r="E16" s="193"/>
      <c r="F16" s="193"/>
      <c r="G16" s="193"/>
      <c r="H16" s="193"/>
      <c r="I16" s="193"/>
      <c r="J16" s="193"/>
      <c r="K16" s="193"/>
      <c r="L16" s="599">
        <v>4</v>
      </c>
    </row>
    <row r="17" spans="1:12" ht="12.75">
      <c r="A17" s="85"/>
      <c r="B17" s="198" t="s">
        <v>241</v>
      </c>
      <c r="C17" s="297">
        <v>0.5337579617834395</v>
      </c>
      <c r="D17" s="297">
        <v>0.4940157424377891</v>
      </c>
      <c r="E17" s="297">
        <v>0.3881206630256884</v>
      </c>
      <c r="F17" s="297">
        <v>0.5052288481228364</v>
      </c>
      <c r="G17" s="297">
        <v>0.47404816068237055</v>
      </c>
      <c r="H17" s="297">
        <v>0.4630705394190871</v>
      </c>
      <c r="I17" s="297">
        <v>0.5301861528990248</v>
      </c>
      <c r="J17" s="297">
        <v>0.40305401178195494</v>
      </c>
      <c r="K17" s="193"/>
      <c r="L17" s="599">
        <v>20</v>
      </c>
    </row>
    <row r="18" spans="1:12" ht="12.75">
      <c r="A18" s="85"/>
      <c r="B18" s="198" t="s">
        <v>242</v>
      </c>
      <c r="C18" s="297">
        <v>0.17070063694267515</v>
      </c>
      <c r="D18" s="297">
        <v>0.22170500314412087</v>
      </c>
      <c r="E18" s="297">
        <v>0.20270229344955215</v>
      </c>
      <c r="F18" s="297">
        <v>0.1978598903350068</v>
      </c>
      <c r="G18" s="297">
        <v>0.19375017798167657</v>
      </c>
      <c r="H18" s="297">
        <v>0.23494698017519594</v>
      </c>
      <c r="I18" s="297">
        <v>0.16986673053399406</v>
      </c>
      <c r="J18" s="297">
        <v>0.23700093569866074</v>
      </c>
      <c r="K18" s="193"/>
      <c r="L18" s="599">
        <v>30</v>
      </c>
    </row>
    <row r="19" spans="1:12" ht="12.75">
      <c r="A19" s="85"/>
      <c r="B19" s="198" t="s">
        <v>243</v>
      </c>
      <c r="C19" s="297">
        <v>0.15286624203821655</v>
      </c>
      <c r="D19" s="297">
        <v>0.1565205178191652</v>
      </c>
      <c r="E19" s="297">
        <v>0.37390723565700373</v>
      </c>
      <c r="F19" s="297">
        <v>0.18040139866278246</v>
      </c>
      <c r="G19" s="297">
        <v>0.1917724733695495</v>
      </c>
      <c r="H19" s="297">
        <v>0.18321807284462885</v>
      </c>
      <c r="I19" s="297">
        <v>0.19984151044086138</v>
      </c>
      <c r="J19" s="297">
        <v>0.1994680038287087</v>
      </c>
      <c r="K19" s="193"/>
      <c r="L19" s="599">
        <v>40</v>
      </c>
    </row>
    <row r="20" spans="1:12" ht="12.75">
      <c r="A20" s="32"/>
      <c r="B20" s="198" t="s">
        <v>244</v>
      </c>
      <c r="C20" s="297">
        <v>0.14267515923566879</v>
      </c>
      <c r="D20" s="297">
        <v>0.12774787420170886</v>
      </c>
      <c r="E20" s="297">
        <v>0.03526980786775514</v>
      </c>
      <c r="F20" s="297">
        <v>0.11651055582292726</v>
      </c>
      <c r="G20" s="297">
        <v>0.1404291879664033</v>
      </c>
      <c r="H20" s="297">
        <v>0.11876440756108807</v>
      </c>
      <c r="I20" s="297">
        <v>0.10010882092447956</v>
      </c>
      <c r="J20" s="297">
        <v>0.16047704869067578</v>
      </c>
      <c r="K20" s="193"/>
      <c r="L20" s="599">
        <v>50</v>
      </c>
    </row>
    <row r="21" spans="1:11" ht="12.75">
      <c r="A21" s="85"/>
      <c r="B21" s="193"/>
      <c r="C21" s="193"/>
      <c r="D21" s="193"/>
      <c r="E21" s="193"/>
      <c r="F21" s="193"/>
      <c r="G21" s="193"/>
      <c r="H21" s="193"/>
      <c r="I21" s="193"/>
      <c r="J21" s="193"/>
      <c r="K21" s="193"/>
    </row>
    <row r="22" spans="1:11" ht="12.75">
      <c r="A22" s="85"/>
      <c r="B22" s="295" t="s">
        <v>503</v>
      </c>
      <c r="C22" s="298">
        <f aca="true" t="shared" si="0" ref="C22:J22">SUM(C17:C20)</f>
        <v>0.9999999999999999</v>
      </c>
      <c r="D22" s="298">
        <f t="shared" si="0"/>
        <v>0.9999891376027841</v>
      </c>
      <c r="E22" s="298">
        <f t="shared" si="0"/>
        <v>0.9999999999999993</v>
      </c>
      <c r="F22" s="298">
        <f t="shared" si="0"/>
        <v>1.000000692943553</v>
      </c>
      <c r="G22" s="298">
        <f t="shared" si="0"/>
        <v>1</v>
      </c>
      <c r="H22" s="298">
        <f t="shared" si="0"/>
        <v>1</v>
      </c>
      <c r="I22" s="298">
        <f t="shared" si="0"/>
        <v>1.0000032147983597</v>
      </c>
      <c r="J22" s="298">
        <f t="shared" si="0"/>
        <v>1</v>
      </c>
      <c r="K22" s="193"/>
    </row>
    <row r="23" spans="2:12" ht="12.75">
      <c r="B23" s="189"/>
      <c r="C23" s="193"/>
      <c r="D23" s="193"/>
      <c r="E23" s="193"/>
      <c r="F23" s="193"/>
      <c r="G23" s="193"/>
      <c r="H23" s="193"/>
      <c r="I23" s="193"/>
      <c r="J23" s="193"/>
      <c r="K23" s="193"/>
      <c r="L23" s="193"/>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Blad14"/>
  <dimension ref="B2:S44"/>
  <sheetViews>
    <sheetView showGridLines="0" zoomScale="85" zoomScaleNormal="85" workbookViewId="0" topLeftCell="A1">
      <selection activeCell="M53" sqref="M53"/>
    </sheetView>
  </sheetViews>
  <sheetFormatPr defaultColWidth="9.140625" defaultRowHeight="12.75"/>
  <cols>
    <col min="1" max="1" width="9.140625" style="24" customWidth="1"/>
    <col min="2" max="4" width="9.140625" style="189" customWidth="1"/>
    <col min="5" max="5" width="11.28125" style="189" bestFit="1" customWidth="1"/>
    <col min="6" max="12" width="9.140625" style="189" customWidth="1"/>
    <col min="13" max="16384" width="9.140625" style="24" customWidth="1"/>
  </cols>
  <sheetData>
    <row r="2" spans="2:4" s="2" customFormat="1" ht="56.25" customHeight="1">
      <c r="B2" s="3" t="s">
        <v>175</v>
      </c>
      <c r="C2" s="3"/>
      <c r="D2" s="3"/>
    </row>
    <row r="4" spans="2:19" s="5" customFormat="1" ht="12.75">
      <c r="B4" s="6" t="s">
        <v>194</v>
      </c>
      <c r="R4" s="7"/>
      <c r="S4" s="7"/>
    </row>
    <row r="5" spans="2:3" ht="12.75">
      <c r="B5" s="100"/>
      <c r="C5" s="211"/>
    </row>
    <row r="6" spans="3:4" ht="12.75">
      <c r="C6" s="212" t="s">
        <v>191</v>
      </c>
      <c r="D6" s="212" t="s">
        <v>195</v>
      </c>
    </row>
    <row r="7" spans="2:5" ht="12.75">
      <c r="B7" s="100">
        <v>2001</v>
      </c>
      <c r="C7" s="213">
        <v>0.025</v>
      </c>
      <c r="D7" s="213">
        <v>0.066</v>
      </c>
      <c r="E7" s="100"/>
    </row>
    <row r="8" spans="2:5" ht="12.75">
      <c r="B8" s="100">
        <v>2002</v>
      </c>
      <c r="C8" s="213">
        <v>0.047</v>
      </c>
      <c r="D8" s="213">
        <v>0.066</v>
      </c>
      <c r="E8" s="100"/>
    </row>
    <row r="9" spans="2:5" ht="12.75">
      <c r="B9" s="100">
        <v>2003</v>
      </c>
      <c r="C9" s="213">
        <v>0.033</v>
      </c>
      <c r="D9" s="213">
        <v>0.066</v>
      </c>
      <c r="E9" s="100"/>
    </row>
    <row r="10" spans="2:5" ht="12.75">
      <c r="B10" s="100">
        <v>2004</v>
      </c>
      <c r="C10" s="213">
        <v>0.021</v>
      </c>
      <c r="D10" s="213">
        <v>0.066</v>
      </c>
      <c r="E10" s="100"/>
    </row>
    <row r="11" spans="2:5" ht="12.75">
      <c r="B11" s="100">
        <v>2005</v>
      </c>
      <c r="C11" s="213">
        <v>0.011</v>
      </c>
      <c r="D11" s="213">
        <v>0.066</v>
      </c>
      <c r="E11" s="100"/>
    </row>
    <row r="12" spans="2:5" ht="12.75">
      <c r="B12" s="100">
        <v>2006</v>
      </c>
      <c r="C12" s="213">
        <v>0.018</v>
      </c>
      <c r="D12" s="213">
        <v>0.066</v>
      </c>
      <c r="E12" s="100"/>
    </row>
    <row r="13" spans="2:5" ht="12.75">
      <c r="B13" s="100">
        <v>2007</v>
      </c>
      <c r="C13" s="213">
        <v>0.014</v>
      </c>
      <c r="D13" s="213">
        <v>0.058</v>
      </c>
      <c r="E13" s="100"/>
    </row>
    <row r="14" spans="2:7" ht="12.75">
      <c r="B14" s="100">
        <v>2008</v>
      </c>
      <c r="C14" s="213">
        <v>0.011</v>
      </c>
      <c r="D14" s="213">
        <v>0.055</v>
      </c>
      <c r="E14" s="100"/>
      <c r="G14" s="26"/>
    </row>
    <row r="15" spans="2:5" ht="12.75">
      <c r="B15" s="100">
        <v>2009</v>
      </c>
      <c r="C15" s="213">
        <v>0.032</v>
      </c>
      <c r="D15" s="213">
        <v>0.055</v>
      </c>
      <c r="E15" s="100"/>
    </row>
    <row r="16" spans="2:10" ht="12.75">
      <c r="B16" s="100">
        <v>2010</v>
      </c>
      <c r="C16" s="213">
        <v>0.003</v>
      </c>
      <c r="D16" s="213">
        <v>0.055</v>
      </c>
      <c r="E16" s="100"/>
      <c r="J16" s="270"/>
    </row>
    <row r="17" spans="2:10" ht="12.75">
      <c r="B17" s="277" t="s">
        <v>483</v>
      </c>
      <c r="C17" s="211"/>
      <c r="D17" s="213">
        <v>0.062</v>
      </c>
      <c r="J17" s="270"/>
    </row>
    <row r="18" spans="4:10" ht="12.75">
      <c r="D18" s="276"/>
      <c r="J18" s="270"/>
    </row>
    <row r="19" spans="2:19" s="5" customFormat="1" ht="12.75">
      <c r="B19" s="6" t="s">
        <v>192</v>
      </c>
      <c r="D19" s="275"/>
      <c r="J19" s="271"/>
      <c r="R19" s="7"/>
      <c r="S19" s="7"/>
    </row>
    <row r="20" ht="12.75">
      <c r="J20" s="270"/>
    </row>
    <row r="21" spans="2:12" ht="12.75">
      <c r="B21" s="214" t="s">
        <v>193</v>
      </c>
      <c r="C21" s="189">
        <v>2000</v>
      </c>
      <c r="D21" s="189">
        <v>2000</v>
      </c>
      <c r="E21" s="189">
        <v>2002</v>
      </c>
      <c r="F21" s="189">
        <v>2003</v>
      </c>
      <c r="G21" s="189">
        <v>2004</v>
      </c>
      <c r="H21" s="189">
        <v>2005</v>
      </c>
      <c r="I21" s="189">
        <v>2006</v>
      </c>
      <c r="J21" s="270">
        <v>2007</v>
      </c>
      <c r="K21" s="189">
        <v>2008</v>
      </c>
      <c r="L21" s="215">
        <v>2009</v>
      </c>
    </row>
    <row r="22" spans="2:12" ht="12.75">
      <c r="B22" s="189">
        <v>2001</v>
      </c>
      <c r="C22" s="217">
        <f>CPI2001</f>
        <v>0.025</v>
      </c>
      <c r="D22" s="218"/>
      <c r="E22" s="218"/>
      <c r="F22" s="218"/>
      <c r="G22" s="218"/>
      <c r="H22" s="218"/>
      <c r="I22" s="218"/>
      <c r="J22" s="272"/>
      <c r="K22" s="218"/>
      <c r="L22" s="218"/>
    </row>
    <row r="23" spans="2:12" ht="12.75">
      <c r="B23" s="189">
        <v>2002</v>
      </c>
      <c r="C23" s="217">
        <f>((1+CPIv2000n2001)*(1+CPI2002)-1)</f>
        <v>0.07317499999999977</v>
      </c>
      <c r="D23" s="217">
        <f>CPI2002</f>
        <v>0.047</v>
      </c>
      <c r="E23" s="218"/>
      <c r="F23" s="218"/>
      <c r="G23" s="218"/>
      <c r="H23" s="218"/>
      <c r="I23" s="218"/>
      <c r="J23" s="272"/>
      <c r="K23" s="218"/>
      <c r="L23" s="218"/>
    </row>
    <row r="24" spans="2:12" ht="12.75">
      <c r="B24" s="189">
        <v>2003</v>
      </c>
      <c r="C24" s="217">
        <f>((1+CPIv2000n2002)*(1+CPI2003)-1)</f>
        <v>0.10858977499999978</v>
      </c>
      <c r="D24" s="217">
        <f>((1+CPIv2001n2002)*(1+CPI2003)-1)</f>
        <v>0.08155099999999993</v>
      </c>
      <c r="E24" s="219">
        <f>CPI2003</f>
        <v>0.033</v>
      </c>
      <c r="F24" s="218"/>
      <c r="G24" s="218"/>
      <c r="H24" s="218"/>
      <c r="I24" s="218"/>
      <c r="J24" s="272"/>
      <c r="K24" s="218"/>
      <c r="L24" s="218"/>
    </row>
    <row r="25" spans="2:12" ht="12.75">
      <c r="B25" s="189">
        <v>2004</v>
      </c>
      <c r="C25" s="217">
        <f>((1+CPIv2000n2003)*(1+CPI2004)-1)</f>
        <v>0.13187016027499965</v>
      </c>
      <c r="D25" s="217">
        <f>((1+CPIv2001n2003)*(1+CPI2004)-1)</f>
        <v>0.10426357099999972</v>
      </c>
      <c r="E25" s="217">
        <f>((1+CPIv2002n2003)*(1+CPI2004)-1)</f>
        <v>0.05469299999999988</v>
      </c>
      <c r="F25" s="217">
        <f>CPI2004</f>
        <v>0.021</v>
      </c>
      <c r="G25" s="218"/>
      <c r="H25" s="218"/>
      <c r="I25" s="218"/>
      <c r="J25" s="272"/>
      <c r="K25" s="218"/>
      <c r="L25" s="218"/>
    </row>
    <row r="26" spans="2:12" ht="12.75">
      <c r="B26" s="189">
        <v>2005</v>
      </c>
      <c r="C26" s="217">
        <f>((1+CPIv2000n2004)*(1+CPI2005)-1)</f>
        <v>0.14432073203802442</v>
      </c>
      <c r="D26" s="217">
        <f>((1+CPIv2001n2004)*(1+CPI2005)-1)</f>
        <v>0.1164104702809996</v>
      </c>
      <c r="E26" s="217">
        <f>((1+CPIv2002n2004)*(1+CPI2005)-1)</f>
        <v>0.06629462299999966</v>
      </c>
      <c r="F26" s="217">
        <f>((1+CPIv2003n2004)*(1+CPI2005)-1)</f>
        <v>0.0322309999999999</v>
      </c>
      <c r="G26" s="217">
        <f>CPI2005</f>
        <v>0.011</v>
      </c>
      <c r="H26" s="218"/>
      <c r="I26" s="218"/>
      <c r="J26" s="272"/>
      <c r="K26" s="218"/>
      <c r="L26" s="218"/>
    </row>
    <row r="27" spans="2:12" ht="12.75">
      <c r="B27" s="189">
        <v>2006</v>
      </c>
      <c r="C27" s="217">
        <f>((1+CPIv2000n2005)*(1+CPI2006)-1)</f>
        <v>0.16491850521470885</v>
      </c>
      <c r="D27" s="217">
        <f>((1+CPIv2001n2005)*(1+CPI2006)-1)</f>
        <v>0.1365058587460577</v>
      </c>
      <c r="E27" s="217">
        <f>((1+CPIv2002n2005)*(1+CPI2006)-1)</f>
        <v>0.08548792621399959</v>
      </c>
      <c r="F27" s="217">
        <f>((1+CPIv2003n2005)*(1+CPI2006)-1)</f>
        <v>0.05081115799999991</v>
      </c>
      <c r="G27" s="217">
        <f>((1+CPIv2004n2005)*(1+CPI2006)-1)</f>
        <v>0.029197999999999835</v>
      </c>
      <c r="H27" s="217">
        <f>CPI2006</f>
        <v>0.018</v>
      </c>
      <c r="I27" s="218"/>
      <c r="J27" s="272"/>
      <c r="K27" s="218"/>
      <c r="L27" s="218"/>
    </row>
    <row r="28" spans="2:12" ht="12.75">
      <c r="B28" s="189">
        <v>2007</v>
      </c>
      <c r="C28" s="217">
        <f>((1+CPIv2000n2006)*(1+CPI2007)-1)</f>
        <v>0.1812273642877147</v>
      </c>
      <c r="D28" s="217">
        <f>((1+CPIv2001n2006)*(1+CPI2007)-1)</f>
        <v>0.15241694076850254</v>
      </c>
      <c r="E28" s="217">
        <f>((1+CPIv2002n2006)*(1+CPI2007)-1)</f>
        <v>0.10068475718099568</v>
      </c>
      <c r="F28" s="217">
        <f>((1+CPIv2003n2006)*(1+CPI2007)-1)</f>
        <v>0.06552251421199995</v>
      </c>
      <c r="G28" s="217">
        <f>((1+CPIv2004n2006)*(1+CPI2007)-1)</f>
        <v>0.04360677199999974</v>
      </c>
      <c r="H28" s="217">
        <f>((1+CPIv2005n2006)*(1+CPI2007)-1)</f>
        <v>0.03225199999999995</v>
      </c>
      <c r="I28" s="217">
        <f>CPI2007</f>
        <v>0.014</v>
      </c>
      <c r="J28" s="218"/>
      <c r="K28" s="218"/>
      <c r="L28" s="218"/>
    </row>
    <row r="29" spans="2:12" ht="12.75">
      <c r="B29" s="189">
        <v>2008</v>
      </c>
      <c r="C29" s="217">
        <f>((1+CPIv2000n2007)*(1+CPI2008)-1)</f>
        <v>0.19422086529487936</v>
      </c>
      <c r="D29" s="217">
        <f>((1+CPIv2001n2007)*(1+CPI2008)-1)</f>
        <v>0.16509352711695602</v>
      </c>
      <c r="E29" s="217">
        <f>((1+CPIv2002n2007)*(1+CPI2008)-1)</f>
        <v>0.11279228950998643</v>
      </c>
      <c r="F29" s="217">
        <f>((1+CPIv2003n2007)*(1+CPI2008)-1)</f>
        <v>0.07724326186833186</v>
      </c>
      <c r="G29" s="217">
        <f>((1+CPIv2004n2007)*(1+CPI2008)-1)</f>
        <v>0.05508644649199956</v>
      </c>
      <c r="H29" s="217">
        <f>((1+CPIv2005n2007)*(1+CPI2008)-1)</f>
        <v>0.04360677199999974</v>
      </c>
      <c r="I29" s="217">
        <f>((1+CPIv2006n2007)*(1+CPI2008)-1)</f>
        <v>0.0251539999999999</v>
      </c>
      <c r="J29" s="217">
        <f>CPI2008</f>
        <v>0.011</v>
      </c>
      <c r="K29" s="218"/>
      <c r="L29" s="218"/>
    </row>
    <row r="30" spans="2:12" ht="12.75">
      <c r="B30" s="189">
        <v>2009</v>
      </c>
      <c r="C30" s="217">
        <f>((1+CPIv2000n2008)*(1+CPI2009)-1)</f>
        <v>0.23243593298431553</v>
      </c>
      <c r="D30" s="217">
        <f>((1+CPIv2001n2008)*(1+CPI2009)-1)</f>
        <v>0.20237651998469874</v>
      </c>
      <c r="E30" s="217">
        <f>((1+CPIv2002n2008)*(1+CPI2009)-1)</f>
        <v>0.148401642774306</v>
      </c>
      <c r="F30" s="217">
        <f>((1+CPIv2003n2008)*(1+CPI2009)-1)</f>
        <v>0.11171504624811845</v>
      </c>
      <c r="G30" s="217">
        <f>((1+CPIv2004n2008)*(1+CPI2009)-1)</f>
        <v>0.08884921277974356</v>
      </c>
      <c r="H30" s="217">
        <f>((1+CPIv2005n2008)*(1+CPI2009)-1)</f>
        <v>0.07700218870399977</v>
      </c>
      <c r="I30" s="217">
        <f>((1+CPIv2006n2008)*(1+CPI2009)-1)</f>
        <v>0.05795892799999991</v>
      </c>
      <c r="J30" s="217">
        <f>((1+CPIv2007n2008)*(1+CPI2009)-1)</f>
        <v>0.043351999999999835</v>
      </c>
      <c r="K30" s="217">
        <f>CPI2009</f>
        <v>0.032</v>
      </c>
      <c r="L30" s="218"/>
    </row>
    <row r="31" spans="2:12" ht="12.75">
      <c r="B31" s="189">
        <v>2010</v>
      </c>
      <c r="C31" s="217">
        <f>((1+CPIv2000n2009)*(1+CPI2010)-1)</f>
        <v>0.23613324078326836</v>
      </c>
      <c r="D31" s="217">
        <f>((1+CPIv2001n2009)*(1+CPI2010)-1)</f>
        <v>0.20598364954465276</v>
      </c>
      <c r="E31" s="217">
        <f>((1+CPIv2002n2009)*(1+CPI2010)-1)</f>
        <v>0.1518468477026289</v>
      </c>
      <c r="F31" s="217">
        <f>((1+CPIv2003n2009)*(1+CPI2010)-1)</f>
        <v>0.11505019138686268</v>
      </c>
      <c r="G31" s="217">
        <f>((1+CPIv2004n2009)*(1+CPI2010)-1)</f>
        <v>0.09211576041808267</v>
      </c>
      <c r="H31" s="217">
        <f>((1+CPIv2005n2009)*(1+CPI2010)-1)</f>
        <v>0.08023319527011163</v>
      </c>
      <c r="I31" s="217">
        <f>((1+CPIv2006n2009)*(1+CPI2010)-1)</f>
        <v>0.06113280478399985</v>
      </c>
      <c r="J31" s="217">
        <f>((1+CPIv2007n2009)*(1+CPI2010)-1)</f>
        <v>0.04648205599999966</v>
      </c>
      <c r="K31" s="217">
        <f>((1+CPIv2008n2009)*(1+CPI2010)-1)</f>
        <v>0.035096000000000016</v>
      </c>
      <c r="L31" s="217">
        <f>CPI2010</f>
        <v>0.003</v>
      </c>
    </row>
    <row r="39" ht="12.75">
      <c r="E39" s="257"/>
    </row>
    <row r="40" spans="6:9" ht="12.75">
      <c r="F40" s="216"/>
      <c r="G40" s="216"/>
      <c r="H40" s="216"/>
      <c r="I40" s="216"/>
    </row>
    <row r="41" spans="6:9" ht="12.75">
      <c r="F41" s="216"/>
      <c r="G41" s="216"/>
      <c r="H41" s="216"/>
      <c r="I41" s="216"/>
    </row>
    <row r="42" spans="6:9" ht="12.75">
      <c r="F42" s="216"/>
      <c r="G42" s="216"/>
      <c r="H42" s="216"/>
      <c r="I42" s="216"/>
    </row>
    <row r="43" spans="6:9" ht="12.75">
      <c r="F43" s="216"/>
      <c r="G43" s="216"/>
      <c r="H43" s="216"/>
      <c r="I43" s="216"/>
    </row>
    <row r="44" ht="12.75">
      <c r="F44" s="216"/>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2:AP137"/>
  <sheetViews>
    <sheetView showGridLines="0" workbookViewId="0" topLeftCell="A100">
      <selection activeCell="K126" sqref="K126"/>
    </sheetView>
  </sheetViews>
  <sheetFormatPr defaultColWidth="9.140625" defaultRowHeight="12.75"/>
  <cols>
    <col min="1" max="1" width="3.8515625" style="106" customWidth="1"/>
    <col min="2" max="2" width="54.421875" style="106" customWidth="1"/>
    <col min="3" max="3" width="6.140625" style="106" customWidth="1"/>
    <col min="4" max="4" width="9.140625" style="106" customWidth="1"/>
    <col min="5" max="5" width="17.57421875" style="106" customWidth="1"/>
    <col min="6" max="6" width="6.00390625" style="106" customWidth="1"/>
    <col min="7" max="7" width="17.57421875" style="106" customWidth="1"/>
    <col min="8" max="8" width="6.00390625" style="106" customWidth="1"/>
    <col min="9" max="9" width="17.57421875" style="106" customWidth="1"/>
    <col min="10" max="10" width="4.28125" style="106" customWidth="1"/>
    <col min="11" max="16384" width="9.140625" style="106" customWidth="1"/>
  </cols>
  <sheetData>
    <row r="1" ht="12.75"/>
    <row r="2" spans="1:42" s="301" customFormat="1" ht="15.75">
      <c r="A2" s="670"/>
      <c r="B2" s="667" t="s">
        <v>544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row>
    <row r="3" spans="1:42" s="301" customFormat="1" ht="12.75">
      <c r="A3" s="671"/>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row>
    <row r="4" spans="1:42" s="301" customFormat="1" ht="12.75">
      <c r="A4" s="671"/>
      <c r="B4" s="671" t="s">
        <v>545</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row>
    <row r="5" spans="1:42" s="301" customFormat="1" ht="12.75">
      <c r="A5" s="671"/>
      <c r="B5" s="671" t="s">
        <v>574</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row>
    <row r="6" spans="1:42" s="301" customFormat="1" ht="12.75">
      <c r="A6" s="671"/>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row>
    <row r="7" spans="1:42" s="301" customFormat="1" ht="12.75">
      <c r="A7" s="671"/>
      <c r="B7" s="671" t="s">
        <v>546</v>
      </c>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row>
    <row r="8" spans="1:42" s="301" customFormat="1" ht="12.75">
      <c r="A8" s="671"/>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row>
    <row r="9" spans="1:42" s="301" customFormat="1" ht="12.75">
      <c r="A9" s="671"/>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row>
    <row r="10" spans="1:42" s="673" customFormat="1" ht="12.75">
      <c r="A10" s="672"/>
      <c r="B10" s="668" t="s">
        <v>5</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row>
    <row r="11" spans="1:42" s="301" customFormat="1" ht="12.75">
      <c r="A11" s="671"/>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row>
    <row r="12" spans="1:42" s="301" customFormat="1" ht="12.75">
      <c r="A12" s="671"/>
      <c r="B12" s="671" t="s">
        <v>537</v>
      </c>
      <c r="C12" s="671"/>
      <c r="E12" s="671" t="s">
        <v>58</v>
      </c>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row>
    <row r="13" spans="1:42" s="301" customFormat="1" ht="12.75">
      <c r="A13" s="671"/>
      <c r="B13" s="671" t="s">
        <v>555</v>
      </c>
      <c r="C13" s="674"/>
      <c r="E13" s="671" t="s">
        <v>7</v>
      </c>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row>
    <row r="14" spans="1:42" s="301" customFormat="1" ht="12.75">
      <c r="A14" s="671"/>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row>
    <row r="15" spans="1:42" s="301" customFormat="1" ht="12.75">
      <c r="A15" s="671"/>
      <c r="B15" s="669" t="s">
        <v>594</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row>
    <row r="16" spans="1:42" s="301" customFormat="1" ht="12.75">
      <c r="A16" s="671"/>
      <c r="B16" s="671"/>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row>
    <row r="17" spans="1:42" s="301" customFormat="1" ht="12.75">
      <c r="A17" s="671"/>
      <c r="B17" s="671" t="s">
        <v>595</v>
      </c>
      <c r="C17" s="671"/>
      <c r="D17" s="671"/>
      <c r="E17" s="687">
        <v>9962.9225</v>
      </c>
      <c r="F17" s="671"/>
      <c r="G17" s="671"/>
      <c r="H17" s="671"/>
      <c r="I17" s="671"/>
      <c r="J17" s="671"/>
      <c r="K17" s="690" t="s">
        <v>599</v>
      </c>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row>
    <row r="18" spans="1:42" s="301" customFormat="1" ht="12.75">
      <c r="A18" s="671"/>
      <c r="B18" s="671" t="s">
        <v>596</v>
      </c>
      <c r="C18" s="671"/>
      <c r="D18" s="671"/>
      <c r="E18" s="688">
        <v>0.05</v>
      </c>
      <c r="F18" s="671"/>
      <c r="G18" s="671"/>
      <c r="H18" s="671"/>
      <c r="I18" s="671"/>
      <c r="J18" s="671"/>
      <c r="K18" s="689" t="s">
        <v>598</v>
      </c>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row>
    <row r="19" spans="1:42" s="301" customFormat="1" ht="12.75">
      <c r="A19" s="671"/>
      <c r="B19" s="671" t="s">
        <v>597</v>
      </c>
      <c r="C19" s="671"/>
      <c r="D19" s="671"/>
      <c r="E19" s="688">
        <v>0.02</v>
      </c>
      <c r="F19" s="671"/>
      <c r="G19" s="671"/>
      <c r="H19" s="671"/>
      <c r="I19" s="671"/>
      <c r="J19" s="671"/>
      <c r="K19" s="689" t="s">
        <v>598</v>
      </c>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row>
    <row r="20" spans="1:42" s="301" customFormat="1" ht="12.75">
      <c r="A20" s="671"/>
      <c r="B20" s="671" t="s">
        <v>601</v>
      </c>
      <c r="C20" s="671"/>
      <c r="D20" s="671"/>
      <c r="E20" s="692">
        <v>0.5</v>
      </c>
      <c r="F20" s="671"/>
      <c r="G20" s="671"/>
      <c r="H20" s="671"/>
      <c r="I20" s="671"/>
      <c r="J20" s="671"/>
      <c r="K20" s="689"/>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row>
    <row r="21" spans="1:42" s="301" customFormat="1" ht="12.75">
      <c r="A21" s="671"/>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row>
    <row r="22" spans="1:42" s="301" customFormat="1" ht="12.75">
      <c r="A22" s="671"/>
      <c r="B22" s="671"/>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row>
    <row r="23" spans="2:9" s="301" customFormat="1" ht="12.75">
      <c r="B23" s="103" t="s">
        <v>538</v>
      </c>
      <c r="C23" s="103" t="s">
        <v>549</v>
      </c>
      <c r="E23" s="103" t="s">
        <v>539</v>
      </c>
      <c r="F23" s="103"/>
      <c r="G23" s="103" t="s">
        <v>540</v>
      </c>
      <c r="I23" s="103" t="s">
        <v>541</v>
      </c>
    </row>
    <row r="24" s="301" customFormat="1" ht="12.75"/>
    <row r="25" spans="2:9" s="301" customFormat="1" ht="12.75">
      <c r="B25" s="675" t="s">
        <v>547</v>
      </c>
      <c r="C25" s="301">
        <v>2009</v>
      </c>
      <c r="E25" s="676">
        <v>9030.346639886517</v>
      </c>
      <c r="G25" s="682">
        <f>-1*$E$17*E18*$E$20</f>
        <v>-249.07306250000002</v>
      </c>
      <c r="I25" s="677">
        <f>E25+G25</f>
        <v>8781.273577386517</v>
      </c>
    </row>
    <row r="26" spans="2:9" s="301" customFormat="1" ht="12.75">
      <c r="B26" s="675" t="s">
        <v>548</v>
      </c>
      <c r="C26" s="301">
        <v>2009</v>
      </c>
      <c r="E26" s="676">
        <v>18579.8822677049</v>
      </c>
      <c r="G26" s="682">
        <f>-1*$E$17*E19*$E$20</f>
        <v>-99.629225</v>
      </c>
      <c r="I26" s="677">
        <f>E26+G26</f>
        <v>18480.2530427049</v>
      </c>
    </row>
    <row r="27" spans="2:11" s="301" customFormat="1" ht="12.75">
      <c r="B27" s="675" t="s">
        <v>551</v>
      </c>
      <c r="C27" s="301">
        <v>2009</v>
      </c>
      <c r="E27" s="676">
        <v>239509.87943694548</v>
      </c>
      <c r="G27" s="678"/>
      <c r="I27" s="679">
        <v>229660.57792119548</v>
      </c>
      <c r="K27" s="691" t="s">
        <v>600</v>
      </c>
    </row>
    <row r="28" spans="2:11" s="301" customFormat="1" ht="12.75">
      <c r="B28" s="675" t="s">
        <v>550</v>
      </c>
      <c r="C28" s="301">
        <v>2009</v>
      </c>
      <c r="E28" s="676">
        <v>11931.652865949683</v>
      </c>
      <c r="G28" s="678"/>
      <c r="I28" s="679">
        <v>11818.031881699684</v>
      </c>
      <c r="K28" s="691" t="s">
        <v>600</v>
      </c>
    </row>
    <row r="29" s="301" customFormat="1" ht="12.75"/>
    <row r="30" s="301" customFormat="1" ht="12.75"/>
    <row r="31" spans="1:42" s="673" customFormat="1" ht="12.75">
      <c r="A31" s="672"/>
      <c r="B31" s="668" t="s">
        <v>6</v>
      </c>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row>
    <row r="32" spans="1:42" s="301" customFormat="1" ht="12.75">
      <c r="A32" s="671"/>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row>
    <row r="33" spans="1:42" s="301" customFormat="1" ht="12.75">
      <c r="A33" s="671"/>
      <c r="B33" s="671" t="s">
        <v>537</v>
      </c>
      <c r="C33" s="671"/>
      <c r="E33" s="671" t="s">
        <v>553</v>
      </c>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row>
    <row r="34" spans="1:42" s="301" customFormat="1" ht="12.75">
      <c r="A34" s="671"/>
      <c r="B34" s="671" t="s">
        <v>555</v>
      </c>
      <c r="C34" s="671"/>
      <c r="E34" s="671" t="s">
        <v>554</v>
      </c>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row>
    <row r="35" spans="1:42" s="301" customFormat="1" ht="12.75">
      <c r="A35" s="671"/>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row>
    <row r="36" spans="2:9" s="301" customFormat="1" ht="12.75">
      <c r="B36" s="103" t="s">
        <v>538</v>
      </c>
      <c r="C36" s="103" t="s">
        <v>549</v>
      </c>
      <c r="E36" s="103" t="s">
        <v>539</v>
      </c>
      <c r="F36" s="103"/>
      <c r="G36" s="103" t="s">
        <v>540</v>
      </c>
      <c r="I36" s="103" t="s">
        <v>541</v>
      </c>
    </row>
    <row r="37" s="301" customFormat="1" ht="12.75"/>
    <row r="38" spans="2:9" s="301" customFormat="1" ht="12.75">
      <c r="B38" s="675" t="s">
        <v>548</v>
      </c>
      <c r="C38" s="301">
        <v>2009</v>
      </c>
      <c r="E38" s="676">
        <v>258289.427504019</v>
      </c>
      <c r="G38" s="676">
        <v>-9308</v>
      </c>
      <c r="I38" s="677">
        <f>E38+G38</f>
        <v>248981.427504019</v>
      </c>
    </row>
    <row r="39" s="301" customFormat="1" ht="12.75"/>
    <row r="40" s="301" customFormat="1" ht="12.75"/>
    <row r="41" spans="1:42" s="673" customFormat="1" ht="12.75">
      <c r="A41" s="672"/>
      <c r="B41" s="668" t="s">
        <v>558</v>
      </c>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row>
    <row r="42" spans="1:42" s="301" customFormat="1" ht="12.75">
      <c r="A42" s="671"/>
      <c r="B42" s="671"/>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row>
    <row r="43" spans="1:42" s="301" customFormat="1" ht="12.75">
      <c r="A43" s="671"/>
      <c r="B43" s="671" t="s">
        <v>537</v>
      </c>
      <c r="C43" s="671"/>
      <c r="E43" s="671" t="s">
        <v>559</v>
      </c>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row>
    <row r="44" spans="1:42" s="301" customFormat="1" ht="12.75">
      <c r="A44" s="671"/>
      <c r="B44" s="671" t="s">
        <v>555</v>
      </c>
      <c r="C44" s="674"/>
      <c r="E44" s="685" t="s">
        <v>586</v>
      </c>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row>
    <row r="45" spans="1:42" s="301" customFormat="1" ht="12.75">
      <c r="A45" s="671"/>
      <c r="B45" s="671"/>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row>
    <row r="46" spans="2:9" s="301" customFormat="1" ht="12.75">
      <c r="B46" s="103" t="s">
        <v>538</v>
      </c>
      <c r="C46" s="103" t="s">
        <v>549</v>
      </c>
      <c r="E46" s="103" t="s">
        <v>539</v>
      </c>
      <c r="F46" s="103"/>
      <c r="G46" s="103" t="s">
        <v>540</v>
      </c>
      <c r="I46" s="103" t="s">
        <v>541</v>
      </c>
    </row>
    <row r="47" s="301" customFormat="1" ht="12.75"/>
    <row r="48" spans="2:9" s="301" customFormat="1" ht="12.75">
      <c r="B48" s="675" t="s">
        <v>560</v>
      </c>
      <c r="C48" s="301">
        <v>2006</v>
      </c>
      <c r="E48" s="676">
        <v>1004</v>
      </c>
      <c r="G48" s="676">
        <v>-44.169</v>
      </c>
      <c r="I48" s="677">
        <f>E48+G48</f>
        <v>959.831</v>
      </c>
    </row>
    <row r="49" spans="2:9" s="301" customFormat="1" ht="12.75">
      <c r="B49" s="675" t="s">
        <v>560</v>
      </c>
      <c r="C49" s="301">
        <v>2007</v>
      </c>
      <c r="E49" s="676">
        <v>1486</v>
      </c>
      <c r="G49" s="676">
        <v>-22.415</v>
      </c>
      <c r="I49" s="677">
        <f>E49+G49</f>
        <v>1463.585</v>
      </c>
    </row>
    <row r="50" spans="2:9" s="301" customFormat="1" ht="12.75">
      <c r="B50" s="675" t="s">
        <v>560</v>
      </c>
      <c r="C50" s="301">
        <v>2008</v>
      </c>
      <c r="E50" s="676">
        <v>1170</v>
      </c>
      <c r="G50" s="676">
        <v>-19.331</v>
      </c>
      <c r="I50" s="677">
        <f>E50+G50</f>
        <v>1150.669</v>
      </c>
    </row>
    <row r="51" spans="1:42" s="301" customFormat="1" ht="12.75">
      <c r="A51" s="671"/>
      <c r="B51" s="675" t="s">
        <v>560</v>
      </c>
      <c r="C51" s="301">
        <v>2009</v>
      </c>
      <c r="E51" s="676">
        <v>1248</v>
      </c>
      <c r="G51" s="676">
        <v>-40.475</v>
      </c>
      <c r="I51" s="677">
        <f>E51+G51</f>
        <v>1207.525</v>
      </c>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row>
    <row r="52" ht="12.75"/>
    <row r="53" ht="12.75"/>
    <row r="54" spans="1:42" s="301" customFormat="1" ht="12.75">
      <c r="A54" s="671"/>
      <c r="B54" s="671" t="s">
        <v>537</v>
      </c>
      <c r="C54" s="671"/>
      <c r="E54" s="671" t="s">
        <v>58</v>
      </c>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row>
    <row r="55" spans="1:42" s="301" customFormat="1" ht="12.75">
      <c r="A55" s="671"/>
      <c r="B55" s="671" t="s">
        <v>555</v>
      </c>
      <c r="C55" s="674"/>
      <c r="E55" s="685" t="s">
        <v>590</v>
      </c>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row>
    <row r="56" spans="1:42" s="301" customFormat="1" ht="12.75">
      <c r="A56" s="671"/>
      <c r="B56" s="671"/>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1"/>
      <c r="AM56" s="671"/>
      <c r="AN56" s="671"/>
      <c r="AO56" s="671"/>
      <c r="AP56" s="671"/>
    </row>
    <row r="57" spans="2:9" s="301" customFormat="1" ht="12.75">
      <c r="B57" s="103" t="s">
        <v>538</v>
      </c>
      <c r="C57" s="103" t="s">
        <v>549</v>
      </c>
      <c r="E57" s="103" t="s">
        <v>539</v>
      </c>
      <c r="F57" s="103"/>
      <c r="G57" s="103" t="s">
        <v>540</v>
      </c>
      <c r="I57" s="103" t="s">
        <v>541</v>
      </c>
    </row>
    <row r="58" s="301" customFormat="1" ht="12.75"/>
    <row r="59" spans="2:9" s="301" customFormat="1" ht="12.75">
      <c r="B59" s="675" t="s">
        <v>560</v>
      </c>
      <c r="C59" s="301">
        <v>2006</v>
      </c>
      <c r="E59" s="676">
        <v>5305.6487</v>
      </c>
      <c r="G59" s="676">
        <v>-106.941</v>
      </c>
      <c r="I59" s="677">
        <f>E59+G59</f>
        <v>5198.7077</v>
      </c>
    </row>
    <row r="60" spans="2:9" s="301" customFormat="1" ht="12.75">
      <c r="B60" s="675" t="s">
        <v>560</v>
      </c>
      <c r="C60" s="301">
        <v>2007</v>
      </c>
      <c r="E60" s="676">
        <v>5525.89738</v>
      </c>
      <c r="G60" s="676">
        <v>-148.446</v>
      </c>
      <c r="I60" s="677">
        <f>E60+G60</f>
        <v>5377.45138</v>
      </c>
    </row>
    <row r="61" spans="2:9" s="301" customFormat="1" ht="12.75">
      <c r="B61" s="675" t="s">
        <v>560</v>
      </c>
      <c r="C61" s="301">
        <v>2008</v>
      </c>
      <c r="E61" s="676">
        <v>7143.192683019998</v>
      </c>
      <c r="G61" s="676">
        <v>-57.577</v>
      </c>
      <c r="I61" s="677">
        <f>E61+G61</f>
        <v>7085.615683019998</v>
      </c>
    </row>
    <row r="62" spans="1:42" s="301" customFormat="1" ht="12.75">
      <c r="A62" s="671"/>
      <c r="B62" s="675" t="s">
        <v>560</v>
      </c>
      <c r="C62" s="301">
        <v>2009</v>
      </c>
      <c r="E62" s="682">
        <f>I25</f>
        <v>8781.273577386517</v>
      </c>
      <c r="G62" s="676">
        <v>-92.067</v>
      </c>
      <c r="I62" s="677">
        <f>E62+G62</f>
        <v>8689.206577386518</v>
      </c>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row>
    <row r="63" ht="12.75"/>
    <row r="64" ht="12.75"/>
    <row r="65" spans="1:42" s="301" customFormat="1" ht="12.75">
      <c r="A65" s="671"/>
      <c r="B65" s="671" t="s">
        <v>537</v>
      </c>
      <c r="C65" s="671"/>
      <c r="E65" s="671" t="s">
        <v>542</v>
      </c>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71"/>
      <c r="AO65" s="671"/>
      <c r="AP65" s="671"/>
    </row>
    <row r="66" spans="1:42" s="301" customFormat="1" ht="12.75">
      <c r="A66" s="671"/>
      <c r="B66" s="671" t="s">
        <v>555</v>
      </c>
      <c r="C66" s="674"/>
      <c r="E66" s="685" t="s">
        <v>587</v>
      </c>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1"/>
      <c r="AL66" s="671"/>
      <c r="AM66" s="671"/>
      <c r="AN66" s="671"/>
      <c r="AO66" s="671"/>
      <c r="AP66" s="671"/>
    </row>
    <row r="67" spans="1:42" s="301" customFormat="1" ht="12.75">
      <c r="A67" s="671"/>
      <c r="B67" s="671"/>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1"/>
      <c r="AL67" s="671"/>
      <c r="AM67" s="671"/>
      <c r="AN67" s="671"/>
      <c r="AO67" s="671"/>
      <c r="AP67" s="671"/>
    </row>
    <row r="68" spans="2:9" s="301" customFormat="1" ht="12.75">
      <c r="B68" s="103" t="s">
        <v>538</v>
      </c>
      <c r="C68" s="103" t="s">
        <v>549</v>
      </c>
      <c r="E68" s="103" t="s">
        <v>539</v>
      </c>
      <c r="F68" s="103"/>
      <c r="G68" s="103" t="s">
        <v>540</v>
      </c>
      <c r="I68" s="103" t="s">
        <v>541</v>
      </c>
    </row>
    <row r="69" s="301" customFormat="1" ht="12.75"/>
    <row r="70" spans="1:42" s="301" customFormat="1" ht="12.75">
      <c r="A70" s="671"/>
      <c r="B70" s="675" t="s">
        <v>560</v>
      </c>
      <c r="C70" s="301">
        <v>2009</v>
      </c>
      <c r="E70" s="676">
        <v>119329.00225</v>
      </c>
      <c r="G70" s="676">
        <v>-6150.363</v>
      </c>
      <c r="I70" s="677">
        <f>E70+G70</f>
        <v>113178.63925000001</v>
      </c>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671"/>
      <c r="AM70" s="671"/>
      <c r="AN70" s="671"/>
      <c r="AO70" s="671"/>
      <c r="AP70" s="671"/>
    </row>
    <row r="73" spans="1:42" s="301" customFormat="1" ht="12.75">
      <c r="A73" s="671"/>
      <c r="B73" s="671" t="s">
        <v>537</v>
      </c>
      <c r="C73" s="671"/>
      <c r="E73" s="671" t="s">
        <v>553</v>
      </c>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1"/>
      <c r="AO73" s="671"/>
      <c r="AP73" s="671"/>
    </row>
    <row r="74" spans="1:42" s="301" customFormat="1" ht="12.75">
      <c r="A74" s="671"/>
      <c r="B74" s="671" t="s">
        <v>555</v>
      </c>
      <c r="C74" s="674"/>
      <c r="E74" s="685" t="s">
        <v>588</v>
      </c>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71"/>
      <c r="AL74" s="671"/>
      <c r="AM74" s="671"/>
      <c r="AN74" s="671"/>
      <c r="AO74" s="671"/>
      <c r="AP74" s="671"/>
    </row>
    <row r="75" spans="1:42" s="301" customFormat="1" ht="12.75">
      <c r="A75" s="671"/>
      <c r="B75" s="671"/>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row>
    <row r="76" spans="2:9" s="301" customFormat="1" ht="12.75">
      <c r="B76" s="103" t="s">
        <v>538</v>
      </c>
      <c r="C76" s="103" t="s">
        <v>549</v>
      </c>
      <c r="E76" s="103" t="s">
        <v>539</v>
      </c>
      <c r="F76" s="103"/>
      <c r="G76" s="103" t="s">
        <v>540</v>
      </c>
      <c r="I76" s="103" t="s">
        <v>541</v>
      </c>
    </row>
    <row r="77" s="301" customFormat="1" ht="12.75"/>
    <row r="78" spans="2:9" s="301" customFormat="1" ht="12.75">
      <c r="B78" s="675" t="s">
        <v>560</v>
      </c>
      <c r="C78" s="301">
        <v>2006</v>
      </c>
      <c r="E78" s="676">
        <v>98632.867</v>
      </c>
      <c r="G78" s="676">
        <v>-2776.658</v>
      </c>
      <c r="I78" s="677">
        <f>E78+G78</f>
        <v>95856.209</v>
      </c>
    </row>
    <row r="79" spans="2:9" s="301" customFormat="1" ht="12.75">
      <c r="B79" s="675" t="s">
        <v>560</v>
      </c>
      <c r="C79" s="301">
        <v>2007</v>
      </c>
      <c r="E79" s="676">
        <v>115901.043</v>
      </c>
      <c r="G79" s="676">
        <v>-890.767</v>
      </c>
      <c r="I79" s="677">
        <f>E79+G79</f>
        <v>115010.276</v>
      </c>
    </row>
    <row r="80" spans="2:9" s="301" customFormat="1" ht="12.75">
      <c r="B80" s="675" t="s">
        <v>560</v>
      </c>
      <c r="C80" s="301">
        <v>2008</v>
      </c>
      <c r="E80" s="676">
        <v>118643.512</v>
      </c>
      <c r="G80" s="676">
        <v>-1441.928</v>
      </c>
      <c r="I80" s="677">
        <f>E80+G80</f>
        <v>117201.584</v>
      </c>
    </row>
    <row r="81" spans="1:42" s="301" customFormat="1" ht="12.75">
      <c r="A81" s="671"/>
      <c r="B81" s="675" t="s">
        <v>560</v>
      </c>
      <c r="C81" s="301">
        <v>2009</v>
      </c>
      <c r="E81" s="676">
        <v>113788.47455</v>
      </c>
      <c r="G81" s="676">
        <v>-1199.942</v>
      </c>
      <c r="I81" s="677">
        <f>E81+G81</f>
        <v>112588.53255</v>
      </c>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671"/>
      <c r="AM81" s="671"/>
      <c r="AN81" s="671"/>
      <c r="AO81" s="671"/>
      <c r="AP81" s="671"/>
    </row>
    <row r="82" ht="12.75">
      <c r="E82" s="84"/>
    </row>
    <row r="84" spans="1:42" s="301" customFormat="1" ht="12.75">
      <c r="A84" s="671"/>
      <c r="B84" s="671" t="s">
        <v>537</v>
      </c>
      <c r="C84" s="671"/>
      <c r="E84" s="671" t="s">
        <v>561</v>
      </c>
      <c r="F84" s="671"/>
      <c r="G84" s="671"/>
      <c r="H84" s="671"/>
      <c r="I84" s="671"/>
      <c r="J84" s="671"/>
      <c r="K84" s="671"/>
      <c r="L84" s="671"/>
      <c r="M84" s="671"/>
      <c r="N84" s="671"/>
      <c r="O84" s="671"/>
      <c r="P84" s="671"/>
      <c r="Q84" s="671"/>
      <c r="R84" s="671"/>
      <c r="S84" s="671"/>
      <c r="T84" s="671"/>
      <c r="U84" s="671"/>
      <c r="V84" s="671"/>
      <c r="W84" s="671"/>
      <c r="X84" s="671"/>
      <c r="Y84" s="671"/>
      <c r="Z84" s="671"/>
      <c r="AA84" s="671"/>
      <c r="AB84" s="671"/>
      <c r="AC84" s="671"/>
      <c r="AD84" s="671"/>
      <c r="AE84" s="671"/>
      <c r="AF84" s="671"/>
      <c r="AG84" s="671"/>
      <c r="AH84" s="671"/>
      <c r="AI84" s="671"/>
      <c r="AJ84" s="671"/>
      <c r="AK84" s="671"/>
      <c r="AL84" s="671"/>
      <c r="AM84" s="671"/>
      <c r="AN84" s="671"/>
      <c r="AO84" s="671"/>
      <c r="AP84" s="671"/>
    </row>
    <row r="85" spans="1:42" s="301" customFormat="1" ht="12.75">
      <c r="A85" s="671"/>
      <c r="B85" s="671" t="s">
        <v>555</v>
      </c>
      <c r="C85" s="674"/>
      <c r="E85" s="685" t="s">
        <v>589</v>
      </c>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71"/>
      <c r="AL85" s="671"/>
      <c r="AM85" s="671"/>
      <c r="AN85" s="671"/>
      <c r="AO85" s="671"/>
      <c r="AP85" s="671"/>
    </row>
    <row r="86" spans="1:42" s="301" customFormat="1" ht="12.75">
      <c r="A86" s="671"/>
      <c r="B86" s="671"/>
      <c r="C86" s="671"/>
      <c r="D86" s="671"/>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row>
    <row r="87" spans="2:9" s="301" customFormat="1" ht="12.75">
      <c r="B87" s="103" t="s">
        <v>538</v>
      </c>
      <c r="C87" s="103" t="s">
        <v>549</v>
      </c>
      <c r="E87" s="103" t="s">
        <v>539</v>
      </c>
      <c r="F87" s="103"/>
      <c r="G87" s="103" t="s">
        <v>540</v>
      </c>
      <c r="I87" s="103" t="s">
        <v>541</v>
      </c>
    </row>
    <row r="88" s="301" customFormat="1" ht="12.75"/>
    <row r="89" spans="2:9" s="301" customFormat="1" ht="12.75">
      <c r="B89" s="675" t="s">
        <v>560</v>
      </c>
      <c r="C89" s="301">
        <v>2006</v>
      </c>
      <c r="E89" s="676">
        <v>64204.5298</v>
      </c>
      <c r="G89" s="676">
        <v>-1021.825</v>
      </c>
      <c r="I89" s="677">
        <f>E89+G89</f>
        <v>63182.7048</v>
      </c>
    </row>
    <row r="90" spans="2:9" s="301" customFormat="1" ht="12.75">
      <c r="B90" s="675" t="s">
        <v>560</v>
      </c>
      <c r="C90" s="301">
        <v>2007</v>
      </c>
      <c r="E90" s="676">
        <v>72814.662</v>
      </c>
      <c r="G90" s="676">
        <v>-1399.871</v>
      </c>
      <c r="I90" s="677">
        <f>E90+G90</f>
        <v>71414.791</v>
      </c>
    </row>
    <row r="91" spans="2:9" s="301" customFormat="1" ht="12.75">
      <c r="B91" s="675" t="s">
        <v>560</v>
      </c>
      <c r="C91" s="301">
        <v>2008</v>
      </c>
      <c r="E91" s="676">
        <v>80260.437</v>
      </c>
      <c r="G91" s="676">
        <v>-1966.322</v>
      </c>
      <c r="I91" s="677">
        <f>E91+G91</f>
        <v>78294.115</v>
      </c>
    </row>
    <row r="92" spans="1:42" s="301" customFormat="1" ht="12.75">
      <c r="A92" s="671"/>
      <c r="B92" s="675" t="s">
        <v>560</v>
      </c>
      <c r="C92" s="301">
        <v>2009</v>
      </c>
      <c r="E92" s="676">
        <v>93964.29800000001</v>
      </c>
      <c r="G92" s="676">
        <v>-3072.254</v>
      </c>
      <c r="I92" s="677">
        <f>E92+G92</f>
        <v>90892.04400000001</v>
      </c>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671"/>
      <c r="AK92" s="671"/>
      <c r="AL92" s="671"/>
      <c r="AM92" s="671"/>
      <c r="AN92" s="671"/>
      <c r="AO92" s="671"/>
      <c r="AP92" s="671"/>
    </row>
    <row r="95" spans="1:42" s="673" customFormat="1" ht="12.75">
      <c r="A95" s="672"/>
      <c r="B95" s="668" t="s">
        <v>552</v>
      </c>
      <c r="C95" s="672"/>
      <c r="D95" s="672"/>
      <c r="E95" s="672"/>
      <c r="F95" s="672"/>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row>
    <row r="96" spans="1:42" s="301" customFormat="1" ht="12.75">
      <c r="A96" s="671"/>
      <c r="B96" s="671"/>
      <c r="C96" s="671"/>
      <c r="D96" s="671"/>
      <c r="E96" s="671"/>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K96" s="671"/>
      <c r="AL96" s="671"/>
      <c r="AM96" s="671"/>
      <c r="AN96" s="671"/>
      <c r="AO96" s="671"/>
      <c r="AP96" s="671"/>
    </row>
    <row r="97" spans="1:42" s="301" customFormat="1" ht="12.75">
      <c r="A97" s="671"/>
      <c r="B97" s="671" t="s">
        <v>537</v>
      </c>
      <c r="C97" s="671"/>
      <c r="E97" s="671" t="s">
        <v>542</v>
      </c>
      <c r="F97" s="671"/>
      <c r="G97" s="671"/>
      <c r="H97" s="671"/>
      <c r="I97" s="671"/>
      <c r="J97" s="671"/>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1"/>
      <c r="AI97" s="671"/>
      <c r="AJ97" s="671"/>
      <c r="AK97" s="671"/>
      <c r="AL97" s="671"/>
      <c r="AM97" s="671"/>
      <c r="AN97" s="671"/>
      <c r="AO97" s="671"/>
      <c r="AP97" s="671"/>
    </row>
    <row r="98" spans="1:42" s="301" customFormat="1" ht="12.75">
      <c r="A98" s="671"/>
      <c r="B98" s="671" t="s">
        <v>555</v>
      </c>
      <c r="C98" s="674"/>
      <c r="E98" s="671" t="s">
        <v>543</v>
      </c>
      <c r="F98" s="671"/>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671"/>
      <c r="AK98" s="671"/>
      <c r="AL98" s="671"/>
      <c r="AM98" s="671"/>
      <c r="AN98" s="671"/>
      <c r="AO98" s="671"/>
      <c r="AP98" s="671"/>
    </row>
    <row r="99" spans="1:42" s="301" customFormat="1" ht="12.75">
      <c r="A99" s="671"/>
      <c r="B99" s="671"/>
      <c r="C99" s="674"/>
      <c r="E99" s="671" t="s">
        <v>556</v>
      </c>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71"/>
      <c r="AO99" s="671"/>
      <c r="AP99" s="671"/>
    </row>
    <row r="100" spans="1:42" s="301" customFormat="1" ht="12.75">
      <c r="A100" s="671"/>
      <c r="B100" s="671"/>
      <c r="C100" s="671"/>
      <c r="D100" s="671"/>
      <c r="E100" s="671"/>
      <c r="F100" s="671"/>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AN100" s="671"/>
      <c r="AO100" s="671"/>
      <c r="AP100" s="671"/>
    </row>
    <row r="101" spans="2:9" s="301" customFormat="1" ht="12.75">
      <c r="B101" s="103" t="s">
        <v>538</v>
      </c>
      <c r="C101" s="103" t="s">
        <v>549</v>
      </c>
      <c r="E101" s="103" t="s">
        <v>539</v>
      </c>
      <c r="F101" s="103"/>
      <c r="G101" s="103"/>
      <c r="I101" s="103" t="s">
        <v>541</v>
      </c>
    </row>
    <row r="102" s="301" customFormat="1" ht="12.75"/>
    <row r="103" spans="2:9" s="301" customFormat="1" ht="12.75">
      <c r="B103" s="675" t="s">
        <v>551</v>
      </c>
      <c r="C103" s="301">
        <v>2007</v>
      </c>
      <c r="E103" s="676">
        <v>3340332.479905463</v>
      </c>
      <c r="G103" s="678"/>
      <c r="I103" s="679">
        <v>3339750.0544994627</v>
      </c>
    </row>
    <row r="104" spans="2:9" s="301" customFormat="1" ht="12.75">
      <c r="B104" s="675" t="s">
        <v>550</v>
      </c>
      <c r="C104" s="301">
        <v>2007</v>
      </c>
      <c r="E104" s="676">
        <v>159709.15334113946</v>
      </c>
      <c r="G104" s="678"/>
      <c r="I104" s="679">
        <v>159644.43940713946</v>
      </c>
    </row>
    <row r="105" spans="2:9" s="301" customFormat="1" ht="12.75">
      <c r="B105" s="675" t="s">
        <v>551</v>
      </c>
      <c r="C105" s="301">
        <v>2008</v>
      </c>
      <c r="E105" s="676">
        <v>3055264.3802418034</v>
      </c>
      <c r="G105" s="678"/>
      <c r="I105" s="679">
        <v>3056069.5799078858</v>
      </c>
    </row>
    <row r="106" spans="1:42" s="301" customFormat="1" ht="12.75">
      <c r="A106" s="671"/>
      <c r="B106" s="675" t="s">
        <v>550</v>
      </c>
      <c r="C106" s="301">
        <v>2008</v>
      </c>
      <c r="E106" s="676">
        <v>150055.0583670369</v>
      </c>
      <c r="G106" s="678"/>
      <c r="I106" s="679">
        <v>150064.56014548888</v>
      </c>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row>
    <row r="107" spans="2:9" s="301" customFormat="1" ht="12.75">
      <c r="B107" s="675" t="s">
        <v>551</v>
      </c>
      <c r="C107" s="301">
        <v>2009</v>
      </c>
      <c r="E107" s="676">
        <v>3190094.016252642</v>
      </c>
      <c r="G107" s="678"/>
      <c r="I107" s="679">
        <v>3186788.2189473803</v>
      </c>
    </row>
    <row r="108" spans="2:9" s="301" customFormat="1" ht="12.75">
      <c r="B108" s="675" t="s">
        <v>550</v>
      </c>
      <c r="C108" s="301">
        <v>2009</v>
      </c>
      <c r="E108" s="676">
        <v>157578.3199379838</v>
      </c>
      <c r="G108" s="678"/>
      <c r="I108" s="679">
        <v>157290.51344864225</v>
      </c>
    </row>
    <row r="111" spans="1:42" s="673" customFormat="1" ht="12.75">
      <c r="A111" s="672"/>
      <c r="B111" s="668" t="s">
        <v>562</v>
      </c>
      <c r="C111" s="672"/>
      <c r="D111" s="672"/>
      <c r="E111" s="672"/>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c r="AG111" s="672"/>
      <c r="AH111" s="672"/>
      <c r="AI111" s="672"/>
      <c r="AJ111" s="672"/>
      <c r="AK111" s="672"/>
      <c r="AL111" s="672"/>
      <c r="AM111" s="672"/>
      <c r="AN111" s="672"/>
      <c r="AO111" s="672"/>
      <c r="AP111" s="672"/>
    </row>
    <row r="112" spans="1:42" s="301" customFormat="1" ht="12.75">
      <c r="A112" s="671"/>
      <c r="B112" s="671"/>
      <c r="C112" s="671"/>
      <c r="D112" s="671"/>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671"/>
      <c r="AK112" s="671"/>
      <c r="AL112" s="671"/>
      <c r="AM112" s="671"/>
      <c r="AN112" s="671"/>
      <c r="AO112" s="671"/>
      <c r="AP112" s="671"/>
    </row>
    <row r="113" spans="1:42" s="301" customFormat="1" ht="12.75">
      <c r="A113" s="671"/>
      <c r="B113" s="671" t="s">
        <v>537</v>
      </c>
      <c r="C113" s="671"/>
      <c r="E113" s="671" t="s">
        <v>143</v>
      </c>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row>
    <row r="114" spans="1:42" s="301" customFormat="1" ht="12.75">
      <c r="A114" s="671"/>
      <c r="B114" s="671" t="s">
        <v>555</v>
      </c>
      <c r="C114" s="674"/>
      <c r="E114" s="671" t="s">
        <v>563</v>
      </c>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1"/>
      <c r="AG114" s="671"/>
      <c r="AH114" s="671"/>
      <c r="AI114" s="671"/>
      <c r="AJ114" s="671"/>
      <c r="AK114" s="671"/>
      <c r="AL114" s="671"/>
      <c r="AM114" s="671"/>
      <c r="AN114" s="671"/>
      <c r="AO114" s="671"/>
      <c r="AP114" s="671"/>
    </row>
    <row r="115" spans="1:42" s="301" customFormat="1" ht="12.75">
      <c r="A115" s="671"/>
      <c r="B115" s="671"/>
      <c r="C115" s="674"/>
      <c r="E115" s="671" t="s">
        <v>564</v>
      </c>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row>
    <row r="116" spans="1:42" s="301" customFormat="1" ht="12.75">
      <c r="A116" s="671"/>
      <c r="B116" s="671"/>
      <c r="C116" s="671"/>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71"/>
      <c r="AL116" s="671"/>
      <c r="AM116" s="671"/>
      <c r="AN116" s="671"/>
      <c r="AO116" s="671"/>
      <c r="AP116" s="671"/>
    </row>
    <row r="117" spans="1:42" s="301" customFormat="1" ht="12.75">
      <c r="A117" s="671"/>
      <c r="B117" s="669" t="s">
        <v>565</v>
      </c>
      <c r="C117" s="103" t="s">
        <v>549</v>
      </c>
      <c r="D117" s="671"/>
      <c r="E117" s="671"/>
      <c r="F117" s="671"/>
      <c r="G117" s="103" t="s">
        <v>568</v>
      </c>
      <c r="H117" s="671"/>
      <c r="I117" s="671"/>
      <c r="J117" s="671"/>
      <c r="K117" s="671"/>
      <c r="L117" s="671"/>
      <c r="M117" s="671"/>
      <c r="N117" s="671"/>
      <c r="O117" s="671"/>
      <c r="P117" s="671"/>
      <c r="Q117" s="671"/>
      <c r="R117" s="671"/>
      <c r="S117" s="671"/>
      <c r="T117" s="671"/>
      <c r="U117" s="671"/>
      <c r="V117" s="671"/>
      <c r="W117" s="671"/>
      <c r="X117" s="671"/>
      <c r="Y117" s="671"/>
      <c r="Z117" s="671"/>
      <c r="AA117" s="671"/>
      <c r="AB117" s="671"/>
      <c r="AC117" s="671"/>
      <c r="AD117" s="671"/>
      <c r="AE117" s="671"/>
      <c r="AF117" s="671"/>
      <c r="AG117" s="671"/>
      <c r="AH117" s="671"/>
      <c r="AI117" s="671"/>
      <c r="AJ117" s="671"/>
      <c r="AK117" s="671"/>
      <c r="AL117" s="671"/>
      <c r="AM117" s="671"/>
      <c r="AN117" s="671"/>
      <c r="AO117" s="671"/>
      <c r="AP117" s="671"/>
    </row>
    <row r="118" spans="1:42" s="301" customFormat="1" ht="12.75">
      <c r="A118" s="671"/>
      <c r="B118" s="669"/>
      <c r="D118" s="671"/>
      <c r="E118" s="671"/>
      <c r="F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671"/>
      <c r="AG118" s="671"/>
      <c r="AH118" s="671"/>
      <c r="AI118" s="671"/>
      <c r="AJ118" s="671"/>
      <c r="AK118" s="671"/>
      <c r="AL118" s="671"/>
      <c r="AM118" s="671"/>
      <c r="AN118" s="671"/>
      <c r="AO118" s="671"/>
      <c r="AP118" s="671"/>
    </row>
    <row r="119" spans="1:42" s="301" customFormat="1" ht="12.75">
      <c r="A119" s="671"/>
      <c r="B119" s="671" t="s">
        <v>566</v>
      </c>
      <c r="C119" s="301">
        <v>2006</v>
      </c>
      <c r="D119" s="671"/>
      <c r="E119" s="671"/>
      <c r="F119" s="671"/>
      <c r="G119" s="676">
        <v>41.347</v>
      </c>
      <c r="H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c r="AF119" s="671"/>
      <c r="AG119" s="671"/>
      <c r="AH119" s="671"/>
      <c r="AI119" s="671"/>
      <c r="AJ119" s="671"/>
      <c r="AK119" s="671"/>
      <c r="AL119" s="671"/>
      <c r="AM119" s="671"/>
      <c r="AN119" s="671"/>
      <c r="AO119" s="671"/>
      <c r="AP119" s="671"/>
    </row>
    <row r="120" spans="1:42" s="301" customFormat="1" ht="12.75">
      <c r="A120" s="671"/>
      <c r="B120" s="671" t="s">
        <v>566</v>
      </c>
      <c r="C120" s="301">
        <v>2007</v>
      </c>
      <c r="D120" s="671"/>
      <c r="E120" s="671"/>
      <c r="F120" s="671"/>
      <c r="G120" s="676">
        <v>41.906</v>
      </c>
      <c r="H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671"/>
      <c r="AK120" s="671"/>
      <c r="AL120" s="671"/>
      <c r="AM120" s="671"/>
      <c r="AN120" s="671"/>
      <c r="AO120" s="671"/>
      <c r="AP120" s="671"/>
    </row>
    <row r="121" spans="1:42" s="301" customFormat="1" ht="12.75">
      <c r="A121" s="671"/>
      <c r="B121" s="671" t="s">
        <v>566</v>
      </c>
      <c r="C121" s="301">
        <v>2008</v>
      </c>
      <c r="D121" s="671"/>
      <c r="E121" s="671"/>
      <c r="F121" s="671"/>
      <c r="G121" s="676">
        <v>17.568</v>
      </c>
      <c r="H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row>
    <row r="122" spans="1:42" s="301" customFormat="1" ht="12.75">
      <c r="A122" s="671"/>
      <c r="B122" s="671" t="s">
        <v>566</v>
      </c>
      <c r="C122" s="301">
        <v>2009</v>
      </c>
      <c r="D122" s="671"/>
      <c r="E122" s="671"/>
      <c r="F122" s="671"/>
      <c r="G122" s="676">
        <v>22.696</v>
      </c>
      <c r="H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671"/>
      <c r="AL122" s="671"/>
      <c r="AM122" s="671"/>
      <c r="AN122" s="671"/>
      <c r="AO122" s="671"/>
      <c r="AP122" s="671"/>
    </row>
    <row r="123" spans="1:42" s="301" customFormat="1" ht="12.75">
      <c r="A123" s="671"/>
      <c r="B123" s="671"/>
      <c r="C123" s="671"/>
      <c r="D123" s="671"/>
      <c r="E123" s="671"/>
      <c r="F123" s="671"/>
      <c r="G123" s="671"/>
      <c r="H123" s="671"/>
      <c r="I123" s="671"/>
      <c r="J123" s="671"/>
      <c r="K123" s="671"/>
      <c r="L123" s="671"/>
      <c r="M123" s="671"/>
      <c r="N123" s="671"/>
      <c r="O123" s="671"/>
      <c r="P123" s="671"/>
      <c r="Q123" s="671"/>
      <c r="R123" s="671"/>
      <c r="S123" s="671"/>
      <c r="T123" s="671"/>
      <c r="U123" s="671"/>
      <c r="V123" s="671"/>
      <c r="W123" s="671"/>
      <c r="X123" s="671"/>
      <c r="Y123" s="671"/>
      <c r="Z123" s="671"/>
      <c r="AA123" s="671"/>
      <c r="AB123" s="671"/>
      <c r="AC123" s="671"/>
      <c r="AD123" s="671"/>
      <c r="AE123" s="671"/>
      <c r="AF123" s="671"/>
      <c r="AG123" s="671"/>
      <c r="AH123" s="671"/>
      <c r="AI123" s="671"/>
      <c r="AJ123" s="671"/>
      <c r="AK123" s="671"/>
      <c r="AL123" s="671"/>
      <c r="AM123" s="671"/>
      <c r="AN123" s="671"/>
      <c r="AO123" s="671"/>
      <c r="AP123" s="671"/>
    </row>
    <row r="124" spans="1:42" s="301" customFormat="1" ht="12.75">
      <c r="A124" s="671"/>
      <c r="B124" s="671" t="s">
        <v>567</v>
      </c>
      <c r="C124" s="671"/>
      <c r="D124" s="671"/>
      <c r="E124" s="671"/>
      <c r="F124" s="671"/>
      <c r="G124" s="680">
        <v>0.15</v>
      </c>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671"/>
      <c r="AL124" s="671"/>
      <c r="AM124" s="671"/>
      <c r="AN124" s="671"/>
      <c r="AO124" s="671"/>
      <c r="AP124" s="671"/>
    </row>
    <row r="125" spans="1:42" s="301" customFormat="1" ht="12.75">
      <c r="A125" s="671"/>
      <c r="B125" s="671" t="s">
        <v>569</v>
      </c>
      <c r="C125" s="671"/>
      <c r="D125" s="671"/>
      <c r="E125" s="671"/>
      <c r="F125" s="671"/>
      <c r="G125" s="680">
        <v>0.46</v>
      </c>
      <c r="H125" s="671"/>
      <c r="I125" s="671"/>
      <c r="J125" s="671"/>
      <c r="K125" s="671"/>
      <c r="L125" s="671"/>
      <c r="M125" s="671"/>
      <c r="N125" s="671"/>
      <c r="O125" s="671"/>
      <c r="P125" s="671"/>
      <c r="Q125" s="671"/>
      <c r="R125" s="671"/>
      <c r="S125" s="671"/>
      <c r="T125" s="671"/>
      <c r="U125" s="671"/>
      <c r="V125" s="671"/>
      <c r="W125" s="671"/>
      <c r="X125" s="671"/>
      <c r="Y125" s="671"/>
      <c r="Z125" s="671"/>
      <c r="AA125" s="671"/>
      <c r="AB125" s="671"/>
      <c r="AC125" s="671"/>
      <c r="AD125" s="671"/>
      <c r="AE125" s="671"/>
      <c r="AF125" s="671"/>
      <c r="AG125" s="671"/>
      <c r="AH125" s="671"/>
      <c r="AI125" s="671"/>
      <c r="AJ125" s="671"/>
      <c r="AK125" s="671"/>
      <c r="AL125" s="671"/>
      <c r="AM125" s="671"/>
      <c r="AN125" s="671"/>
      <c r="AO125" s="671"/>
      <c r="AP125" s="671"/>
    </row>
    <row r="126" spans="1:42" s="301" customFormat="1" ht="12.75">
      <c r="A126" s="671"/>
      <c r="B126" s="671" t="s">
        <v>570</v>
      </c>
      <c r="C126" s="671"/>
      <c r="D126" s="671"/>
      <c r="E126" s="671"/>
      <c r="F126" s="671"/>
      <c r="G126" s="680">
        <v>0.4</v>
      </c>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1"/>
      <c r="AE126" s="671"/>
      <c r="AF126" s="671"/>
      <c r="AG126" s="671"/>
      <c r="AH126" s="671"/>
      <c r="AI126" s="671"/>
      <c r="AJ126" s="671"/>
      <c r="AK126" s="671"/>
      <c r="AL126" s="671"/>
      <c r="AM126" s="671"/>
      <c r="AN126" s="671"/>
      <c r="AO126" s="671"/>
      <c r="AP126" s="671"/>
    </row>
    <row r="127" spans="1:42" s="301" customFormat="1" ht="12.75">
      <c r="A127" s="671"/>
      <c r="B127" s="671" t="s">
        <v>571</v>
      </c>
      <c r="C127" s="671"/>
      <c r="D127" s="671"/>
      <c r="E127" s="671"/>
      <c r="F127" s="671"/>
      <c r="G127" s="680">
        <v>0.14</v>
      </c>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1"/>
      <c r="AE127" s="671"/>
      <c r="AF127" s="671"/>
      <c r="AG127" s="671"/>
      <c r="AH127" s="671"/>
      <c r="AI127" s="671"/>
      <c r="AJ127" s="671"/>
      <c r="AK127" s="671"/>
      <c r="AL127" s="671"/>
      <c r="AM127" s="671"/>
      <c r="AN127" s="671"/>
      <c r="AO127" s="671"/>
      <c r="AP127" s="671"/>
    </row>
    <row r="128" spans="1:42" s="301" customFormat="1" ht="12.75">
      <c r="A128" s="671"/>
      <c r="B128" s="671"/>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c r="AA128" s="671"/>
      <c r="AB128" s="671"/>
      <c r="AC128" s="671"/>
      <c r="AD128" s="671"/>
      <c r="AE128" s="671"/>
      <c r="AF128" s="671"/>
      <c r="AG128" s="671"/>
      <c r="AH128" s="671"/>
      <c r="AI128" s="671"/>
      <c r="AJ128" s="671"/>
      <c r="AK128" s="671"/>
      <c r="AL128" s="671"/>
      <c r="AM128" s="671"/>
      <c r="AN128" s="671"/>
      <c r="AO128" s="671"/>
      <c r="AP128" s="671"/>
    </row>
    <row r="129" spans="1:42" s="301" customFormat="1" ht="12.75">
      <c r="A129" s="671"/>
      <c r="B129" s="671"/>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671"/>
      <c r="AC129" s="671"/>
      <c r="AD129" s="671"/>
      <c r="AE129" s="671"/>
      <c r="AF129" s="671"/>
      <c r="AG129" s="671"/>
      <c r="AH129" s="671"/>
      <c r="AI129" s="671"/>
      <c r="AJ129" s="671"/>
      <c r="AK129" s="671"/>
      <c r="AL129" s="671"/>
      <c r="AM129" s="671"/>
      <c r="AN129" s="671"/>
      <c r="AO129" s="671"/>
      <c r="AP129" s="671"/>
    </row>
    <row r="130" spans="2:9" s="301" customFormat="1" ht="12.75">
      <c r="B130" s="103" t="s">
        <v>538</v>
      </c>
      <c r="C130" s="103" t="s">
        <v>549</v>
      </c>
      <c r="E130" s="103" t="s">
        <v>539</v>
      </c>
      <c r="F130" s="103"/>
      <c r="G130" s="103" t="s">
        <v>540</v>
      </c>
      <c r="I130" s="103" t="s">
        <v>541</v>
      </c>
    </row>
    <row r="131" s="301" customFormat="1" ht="12.75"/>
    <row r="132" spans="2:9" s="301" customFormat="1" ht="12.75">
      <c r="B132" s="675" t="s">
        <v>572</v>
      </c>
      <c r="C132" s="301">
        <v>2006</v>
      </c>
      <c r="E132" s="676">
        <v>1541.149</v>
      </c>
      <c r="G132" s="681">
        <f>-G119*(1-$G$124)*G125</f>
        <v>-16.166677</v>
      </c>
      <c r="I132" s="677">
        <f aca="true" t="shared" si="0" ref="I132:I137">E132+G132</f>
        <v>1524.982323</v>
      </c>
    </row>
    <row r="133" spans="2:9" s="301" customFormat="1" ht="12.75">
      <c r="B133" s="675" t="s">
        <v>548</v>
      </c>
      <c r="C133" s="301">
        <v>2006</v>
      </c>
      <c r="E133" s="676">
        <v>563.23</v>
      </c>
      <c r="G133" s="681">
        <f>-G119*(1-$G$124)*G126</f>
        <v>-14.05798</v>
      </c>
      <c r="I133" s="677">
        <f t="shared" si="0"/>
        <v>549.17202</v>
      </c>
    </row>
    <row r="134" spans="2:9" s="301" customFormat="1" ht="12.75">
      <c r="B134" s="675" t="s">
        <v>573</v>
      </c>
      <c r="C134" s="301">
        <v>2006</v>
      </c>
      <c r="E134" s="676">
        <v>523.7860000000001</v>
      </c>
      <c r="G134" s="681">
        <f>-G119*(1-$G$124)*G127</f>
        <v>-4.920293000000001</v>
      </c>
      <c r="I134" s="677">
        <f t="shared" si="0"/>
        <v>518.865707</v>
      </c>
    </row>
    <row r="135" spans="2:9" s="301" customFormat="1" ht="12.75">
      <c r="B135" s="675" t="s">
        <v>548</v>
      </c>
      <c r="C135" s="301">
        <v>2007</v>
      </c>
      <c r="E135" s="676">
        <v>854.730461052641</v>
      </c>
      <c r="G135" s="681">
        <f>-G120*(1-$G$124)</f>
        <v>-35.6201</v>
      </c>
      <c r="I135" s="677">
        <f t="shared" si="0"/>
        <v>819.110361052641</v>
      </c>
    </row>
    <row r="136" spans="2:9" s="301" customFormat="1" ht="12.75">
      <c r="B136" s="675" t="s">
        <v>548</v>
      </c>
      <c r="C136" s="301">
        <v>2008</v>
      </c>
      <c r="E136" s="676">
        <v>763.29</v>
      </c>
      <c r="G136" s="681">
        <f>-G121*(1-$G$124)</f>
        <v>-14.9328</v>
      </c>
      <c r="I136" s="677">
        <f t="shared" si="0"/>
        <v>748.3571999999999</v>
      </c>
    </row>
    <row r="137" spans="1:42" s="301" customFormat="1" ht="12.75">
      <c r="A137" s="671"/>
      <c r="B137" s="675" t="s">
        <v>548</v>
      </c>
      <c r="C137" s="301">
        <v>2009</v>
      </c>
      <c r="E137" s="676">
        <v>1030.161699</v>
      </c>
      <c r="G137" s="681">
        <f>-G122*(1-$G$124)</f>
        <v>-19.291600000000003</v>
      </c>
      <c r="I137" s="677">
        <f t="shared" si="0"/>
        <v>1010.870099</v>
      </c>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671"/>
      <c r="AL137" s="671"/>
      <c r="AM137" s="671"/>
      <c r="AN137" s="671"/>
      <c r="AO137" s="671"/>
      <c r="AP137" s="671"/>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6"/>
  </sheetPr>
  <dimension ref="B2:G23"/>
  <sheetViews>
    <sheetView showGridLines="0" workbookViewId="0" topLeftCell="A1">
      <selection activeCell="G10" sqref="G10"/>
    </sheetView>
  </sheetViews>
  <sheetFormatPr defaultColWidth="9.140625" defaultRowHeight="12.75"/>
  <cols>
    <col min="1" max="1" width="5.140625" style="0" customWidth="1"/>
    <col min="2" max="2" width="86.00390625" style="0" customWidth="1"/>
    <col min="3" max="3" width="16.8515625" style="0" customWidth="1"/>
    <col min="4" max="4" width="3.140625" style="0" customWidth="1"/>
    <col min="5" max="5" width="16.57421875" style="0" bestFit="1" customWidth="1"/>
    <col min="6" max="6" width="6.421875" style="0" customWidth="1"/>
  </cols>
  <sheetData>
    <row r="2" s="650" customFormat="1" ht="18">
      <c r="B2" s="299" t="s">
        <v>526</v>
      </c>
    </row>
    <row r="3" ht="12.75">
      <c r="B3" s="659"/>
    </row>
    <row r="4" s="609" customFormat="1" ht="12.75">
      <c r="B4" s="610" t="s">
        <v>525</v>
      </c>
    </row>
    <row r="6" ht="12.75">
      <c r="B6" s="103" t="s">
        <v>524</v>
      </c>
    </row>
    <row r="7" spans="2:7" ht="12.75">
      <c r="B7" t="s">
        <v>519</v>
      </c>
      <c r="C7" t="s">
        <v>61</v>
      </c>
      <c r="E7" s="248">
        <v>34720276.054284394</v>
      </c>
      <c r="G7" s="660" t="s">
        <v>518</v>
      </c>
    </row>
    <row r="8" spans="2:7" ht="12.75">
      <c r="B8" t="s">
        <v>520</v>
      </c>
      <c r="C8" t="s">
        <v>61</v>
      </c>
      <c r="E8" s="248">
        <v>29192182.461349815</v>
      </c>
      <c r="G8" s="660" t="s">
        <v>518</v>
      </c>
    </row>
    <row r="9" spans="2:5" ht="12.75">
      <c r="B9" t="s">
        <v>527</v>
      </c>
      <c r="C9" t="s">
        <v>61</v>
      </c>
      <c r="E9" s="159">
        <f>E7-E8</f>
        <v>5528093.592934579</v>
      </c>
    </row>
    <row r="10" ht="12.75">
      <c r="E10" s="661"/>
    </row>
    <row r="11" spans="2:5" ht="12.75">
      <c r="B11" s="103" t="s">
        <v>523</v>
      </c>
      <c r="E11" s="661"/>
    </row>
    <row r="12" spans="2:5" ht="12.75">
      <c r="B12" t="s">
        <v>521</v>
      </c>
      <c r="C12" t="s">
        <v>57</v>
      </c>
      <c r="E12" s="663">
        <f>CPIv2007n2010</f>
        <v>0.04648205599999966</v>
      </c>
    </row>
    <row r="13" spans="2:5" ht="12.75">
      <c r="B13" t="s">
        <v>522</v>
      </c>
      <c r="C13" t="s">
        <v>55</v>
      </c>
      <c r="E13" s="159">
        <f>E9*(1+E12)</f>
        <v>5785050.748894603</v>
      </c>
    </row>
    <row r="16" s="609" customFormat="1" ht="12.75">
      <c r="B16" s="610" t="s">
        <v>528</v>
      </c>
    </row>
    <row r="18" spans="2:5" ht="12.75">
      <c r="B18" t="s">
        <v>144</v>
      </c>
      <c r="C18" t="s">
        <v>55</v>
      </c>
      <c r="E18" s="664">
        <f>'x-factor'!L8</f>
        <v>39819577.28014764</v>
      </c>
    </row>
    <row r="19" spans="2:5" ht="12.75">
      <c r="B19" t="s">
        <v>146</v>
      </c>
      <c r="C19" t="s">
        <v>55</v>
      </c>
      <c r="E19" s="664">
        <f>Eindinkomsten!L23</f>
        <v>40222663.275450446</v>
      </c>
    </row>
    <row r="20" spans="2:7" ht="12.75">
      <c r="B20" t="s">
        <v>529</v>
      </c>
      <c r="C20" t="s">
        <v>55</v>
      </c>
      <c r="E20" s="159">
        <f>E19+E13</f>
        <v>46007714.02434505</v>
      </c>
      <c r="G20" s="660"/>
    </row>
    <row r="21" spans="2:5" ht="12.75">
      <c r="B21" t="s">
        <v>531</v>
      </c>
      <c r="E21" s="9">
        <f>100*(1-(E20/E18)^(1/3))</f>
        <v>-4.932818116740756</v>
      </c>
    </row>
    <row r="23" spans="2:5" ht="12.75">
      <c r="B23" s="103" t="s">
        <v>530</v>
      </c>
      <c r="E23" s="662">
        <f>ROUNDUP(E21,1)</f>
        <v>-5</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Blad3">
    <tabColor indexed="44"/>
  </sheetPr>
  <dimension ref="A1:O25"/>
  <sheetViews>
    <sheetView showGridLines="0" zoomScale="85" zoomScaleNormal="85" workbookViewId="0" topLeftCell="A1">
      <pane xSplit="4" ySplit="2" topLeftCell="E3" activePane="bottomRight" state="frozen"/>
      <selection pane="topLeft" activeCell="G36" sqref="G36"/>
      <selection pane="topRight" activeCell="G36" sqref="G36"/>
      <selection pane="bottomLeft" activeCell="G36" sqref="G36"/>
      <selection pane="bottomRight" activeCell="K24" sqref="K24"/>
    </sheetView>
  </sheetViews>
  <sheetFormatPr defaultColWidth="9.140625" defaultRowHeight="12.75"/>
  <cols>
    <col min="1" max="1" width="4.421875" style="0" customWidth="1"/>
    <col min="2" max="2" width="36.140625" style="0" customWidth="1"/>
    <col min="3" max="3" width="8.57421875" style="0" customWidth="1"/>
    <col min="4" max="4" width="10.7109375" style="0" customWidth="1"/>
    <col min="5" max="5" width="13.421875" style="0" customWidth="1"/>
    <col min="6" max="6" width="10.8515625" style="0" bestFit="1" customWidth="1"/>
    <col min="7" max="8" width="12.28125" style="0" bestFit="1" customWidth="1"/>
    <col min="9" max="9" width="10.8515625" style="0" bestFit="1" customWidth="1"/>
    <col min="10" max="10" width="11.57421875" style="0" customWidth="1"/>
    <col min="11" max="11" width="12.28125" style="0" bestFit="1" customWidth="1"/>
    <col min="12" max="12" width="13.140625" style="0" bestFit="1" customWidth="1"/>
    <col min="13" max="13" width="12.7109375" style="0" bestFit="1" customWidth="1"/>
    <col min="15" max="15" width="14.28125" style="0" bestFit="1" customWidth="1"/>
  </cols>
  <sheetData>
    <row r="1" spans="7:11" s="101" customFormat="1" ht="12.75">
      <c r="G1" s="608"/>
      <c r="H1" s="608"/>
      <c r="I1" s="608"/>
      <c r="J1" s="608"/>
      <c r="K1" s="608"/>
    </row>
    <row r="2" spans="1:13" ht="73.5" customHeight="1">
      <c r="A2" s="2"/>
      <c r="B2" s="3" t="s">
        <v>137</v>
      </c>
      <c r="C2" s="3"/>
      <c r="D2" s="3"/>
      <c r="E2" s="4" t="s">
        <v>139</v>
      </c>
      <c r="F2" s="4" t="s">
        <v>58</v>
      </c>
      <c r="G2" s="4" t="s">
        <v>388</v>
      </c>
      <c r="H2" s="4" t="s">
        <v>141</v>
      </c>
      <c r="I2" s="4" t="s">
        <v>142</v>
      </c>
      <c r="J2" s="4" t="s">
        <v>143</v>
      </c>
      <c r="K2" s="4" t="s">
        <v>140</v>
      </c>
      <c r="L2" s="4" t="s">
        <v>59</v>
      </c>
      <c r="M2" s="4" t="s">
        <v>145</v>
      </c>
    </row>
    <row r="3" spans="1:13" ht="12.75">
      <c r="A3" s="1"/>
      <c r="B3" s="1"/>
      <c r="C3" s="1"/>
      <c r="D3" s="1"/>
      <c r="E3" s="1"/>
      <c r="F3" s="1"/>
      <c r="G3" s="1"/>
      <c r="H3" s="1"/>
      <c r="I3" s="1"/>
      <c r="J3" s="1"/>
      <c r="K3" s="1"/>
      <c r="L3" s="1"/>
      <c r="M3" s="1"/>
    </row>
    <row r="4" spans="1:13" ht="12.75">
      <c r="A4" s="5"/>
      <c r="B4" s="6" t="s">
        <v>144</v>
      </c>
      <c r="C4" s="6"/>
      <c r="D4" s="5"/>
      <c r="E4" s="5"/>
      <c r="F4" s="5"/>
      <c r="G4" s="5"/>
      <c r="H4" s="5"/>
      <c r="I4" s="5"/>
      <c r="J4" s="5"/>
      <c r="K4" s="5"/>
      <c r="L4" s="5"/>
      <c r="M4" s="5"/>
    </row>
    <row r="5" spans="1:13" ht="12.75">
      <c r="A5" s="1"/>
      <c r="B5" s="1"/>
      <c r="C5" s="1"/>
      <c r="D5" s="1"/>
      <c r="E5" s="1"/>
      <c r="F5" s="1"/>
      <c r="G5" s="1"/>
      <c r="H5" s="1"/>
      <c r="I5" s="1"/>
      <c r="J5" s="1"/>
      <c r="K5" s="1"/>
      <c r="L5" s="1"/>
      <c r="M5" s="1"/>
    </row>
    <row r="6" spans="1:13" ht="12.75">
      <c r="A6" s="1"/>
      <c r="B6" s="154" t="s">
        <v>396</v>
      </c>
      <c r="C6" s="154" t="s">
        <v>55</v>
      </c>
      <c r="D6" s="1"/>
      <c r="E6" s="291">
        <f>SUMPRODUCT(Wegingsfactoren!E154:E267,Rekenvolumes!E132:E245)</f>
        <v>15467552.757994173</v>
      </c>
      <c r="F6" s="291">
        <f>SUMPRODUCT(Wegingsfactoren!F154:F267,Rekenvolumes!F132:F245)</f>
        <v>56119586.137258135</v>
      </c>
      <c r="G6" s="291">
        <f>SUMPRODUCT(Wegingsfactoren!G154:G267,Rekenvolumes!G132:G245)</f>
        <v>28037498.967200883</v>
      </c>
      <c r="H6" s="291">
        <f>SUMPRODUCT(Wegingsfactoren!H154:H267,Rekenvolumes!H132:H245)</f>
        <v>743227758.640217</v>
      </c>
      <c r="I6" s="291">
        <f>SUMPRODUCT(Wegingsfactoren!I154:I267,Rekenvolumes!I132:I245)</f>
        <v>754070214.7010987</v>
      </c>
      <c r="J6" s="291">
        <f>SUMPRODUCT(Wegingsfactoren!J154:J267,Rekenvolumes!J132:J245)</f>
        <v>9124201.49186564</v>
      </c>
      <c r="K6" s="291">
        <f>SUMPRODUCT(Wegingsfactoren!K154:K267,Rekenvolumes!K132:K245)</f>
        <v>516690869.79520875</v>
      </c>
      <c r="L6" s="291">
        <f>SUMPRODUCT(Wegingsfactoren!L154:L267,Rekenvolumes!L132:L245)</f>
        <v>36777973.799084164</v>
      </c>
      <c r="M6" s="12">
        <f>SUM(E6:L6)</f>
        <v>2159515656.289927</v>
      </c>
    </row>
    <row r="7" spans="1:13" ht="12.75">
      <c r="A7" s="1"/>
      <c r="B7" s="154" t="s">
        <v>395</v>
      </c>
      <c r="C7" s="154" t="s">
        <v>55</v>
      </c>
      <c r="D7" s="1"/>
      <c r="E7" s="12">
        <f>SUMPRODUCT(Wegingsfactoren!E272:E283,Rekenvolumes!E250:E261)</f>
        <v>949039.1530895196</v>
      </c>
      <c r="F7" s="12">
        <f>SUMPRODUCT(Wegingsfactoren!F272:F283,Rekenvolumes!F250:F261)</f>
        <v>5204295.02</v>
      </c>
      <c r="G7" s="12">
        <f>SUMPRODUCT(Wegingsfactoren!G272:G283,Rekenvolumes!G250:G261)</f>
        <v>1849675.6996557245</v>
      </c>
      <c r="H7" s="12">
        <f>SUMPRODUCT(Wegingsfactoren!H272:H283,Rekenvolumes!H250:H261)</f>
        <v>53353706.50909319</v>
      </c>
      <c r="I7" s="12">
        <f>SUMPRODUCT(Wegingsfactoren!I272:I283,Rekenvolumes!I250:I261)</f>
        <v>49205376.82666666</v>
      </c>
      <c r="J7" s="12">
        <f>SUMPRODUCT(Wegingsfactoren!J272:J283,Rekenvolumes!J250:J261)</f>
        <v>486627.4099999999</v>
      </c>
      <c r="K7" s="12">
        <f>SUMPRODUCT(Wegingsfactoren!K272:K283,Rekenvolumes!K250:K261)</f>
        <v>47630667.0708157</v>
      </c>
      <c r="L7" s="12">
        <f>SUMPRODUCT(Wegingsfactoren!L272:L283,Rekenvolumes!L250:L261)</f>
        <v>3041603.4810634744</v>
      </c>
      <c r="M7" s="12">
        <f>SUM(E7:L7)</f>
        <v>161720991.1703843</v>
      </c>
    </row>
    <row r="8" spans="1:15" ht="12.75">
      <c r="A8" s="1"/>
      <c r="B8" s="154" t="s">
        <v>47</v>
      </c>
      <c r="C8" s="154" t="s">
        <v>55</v>
      </c>
      <c r="D8" s="1"/>
      <c r="E8" s="8">
        <f>SUM(E6:E7)</f>
        <v>16416591.911083693</v>
      </c>
      <c r="F8" s="8">
        <f aca="true" t="shared" si="0" ref="F8:M8">SUM(F6:F7)</f>
        <v>61323881.15725814</v>
      </c>
      <c r="G8" s="8">
        <f t="shared" si="0"/>
        <v>29887174.666856606</v>
      </c>
      <c r="H8" s="8">
        <f t="shared" si="0"/>
        <v>796581465.1493101</v>
      </c>
      <c r="I8" s="8">
        <f t="shared" si="0"/>
        <v>803275591.5277654</v>
      </c>
      <c r="J8" s="8">
        <f t="shared" si="0"/>
        <v>9610828.90186564</v>
      </c>
      <c r="K8" s="8">
        <f t="shared" si="0"/>
        <v>564321536.8660245</v>
      </c>
      <c r="L8" s="8">
        <f t="shared" si="0"/>
        <v>39819577.28014764</v>
      </c>
      <c r="M8" s="8">
        <f t="shared" si="0"/>
        <v>2321236647.4603114</v>
      </c>
      <c r="O8" s="224"/>
    </row>
    <row r="9" spans="1:15" ht="12.75">
      <c r="A9" s="1"/>
      <c r="B9" s="1"/>
      <c r="C9" s="1"/>
      <c r="D9" s="1"/>
      <c r="E9" s="1"/>
      <c r="F9" s="1"/>
      <c r="G9" s="1"/>
      <c r="H9" s="1"/>
      <c r="I9" s="1"/>
      <c r="J9" s="1"/>
      <c r="K9" s="1"/>
      <c r="L9" s="1"/>
      <c r="M9" s="1"/>
      <c r="O9" s="224"/>
    </row>
    <row r="10" spans="1:15" ht="12.75">
      <c r="A10" s="5"/>
      <c r="B10" s="6" t="s">
        <v>146</v>
      </c>
      <c r="C10" s="6"/>
      <c r="D10" s="5"/>
      <c r="E10" s="5"/>
      <c r="F10" s="5"/>
      <c r="G10" s="5"/>
      <c r="H10" s="5"/>
      <c r="I10" s="5"/>
      <c r="J10" s="5"/>
      <c r="K10" s="5"/>
      <c r="L10" s="5"/>
      <c r="M10" s="5"/>
      <c r="O10" s="224"/>
    </row>
    <row r="11" spans="1:15" ht="12.75">
      <c r="A11" s="1"/>
      <c r="B11" s="1"/>
      <c r="C11" s="1"/>
      <c r="D11" s="1"/>
      <c r="E11" s="1"/>
      <c r="F11" s="1"/>
      <c r="G11" s="1"/>
      <c r="H11" s="1"/>
      <c r="I11" s="1"/>
      <c r="J11" s="1"/>
      <c r="K11" s="1"/>
      <c r="L11" s="1"/>
      <c r="M11" s="1"/>
      <c r="O11" s="224"/>
    </row>
    <row r="12" spans="1:15" ht="12.75">
      <c r="A12" s="1"/>
      <c r="B12" s="1" t="s">
        <v>146</v>
      </c>
      <c r="C12" s="154" t="s">
        <v>55</v>
      </c>
      <c r="D12" s="1"/>
      <c r="E12" s="8">
        <f>Eindinkomsten!E23</f>
        <v>18545744.015438784</v>
      </c>
      <c r="F12" s="8">
        <f>Eindinkomsten!F23</f>
        <v>71361784.27609415</v>
      </c>
      <c r="G12" s="8">
        <f>Eindinkomsten!G23</f>
        <v>35698985.922251694</v>
      </c>
      <c r="H12" s="8">
        <f>Eindinkomsten!H23</f>
        <v>950639279.7368629</v>
      </c>
      <c r="I12" s="8">
        <f>Eindinkomsten!I23</f>
        <v>967330809.5318898</v>
      </c>
      <c r="J12" s="8">
        <f>Eindinkomsten!J23</f>
        <v>11590819.30241938</v>
      </c>
      <c r="K12" s="8">
        <f>Eindinkomsten!K23</f>
        <v>704125219.5211464</v>
      </c>
      <c r="L12" s="8">
        <f>Eindinkomsten!L23</f>
        <v>40222663.275450446</v>
      </c>
      <c r="M12" s="8">
        <f>SUM(E12:L12)</f>
        <v>2799515305.5815535</v>
      </c>
      <c r="O12" s="224"/>
    </row>
    <row r="13" spans="1:13" ht="12.75">
      <c r="A13" s="1"/>
      <c r="B13" s="1"/>
      <c r="C13" s="1"/>
      <c r="D13" s="1"/>
      <c r="E13" s="1"/>
      <c r="F13" s="1"/>
      <c r="G13" s="1"/>
      <c r="H13" s="1"/>
      <c r="I13" s="1"/>
      <c r="J13" s="1"/>
      <c r="K13" s="1"/>
      <c r="L13" s="1"/>
      <c r="M13" s="1"/>
    </row>
    <row r="14" spans="1:13" ht="12.75">
      <c r="A14" s="5"/>
      <c r="B14" s="6" t="s">
        <v>147</v>
      </c>
      <c r="C14" s="6"/>
      <c r="D14" s="5"/>
      <c r="E14" s="5"/>
      <c r="F14" s="5"/>
      <c r="G14" s="5"/>
      <c r="H14" s="5"/>
      <c r="I14" s="5"/>
      <c r="J14" s="5"/>
      <c r="K14" s="5"/>
      <c r="L14" s="5"/>
      <c r="M14" s="5"/>
    </row>
    <row r="15" spans="1:13" ht="12.75">
      <c r="A15" s="1"/>
      <c r="B15" s="1"/>
      <c r="C15" s="1"/>
      <c r="D15" s="1"/>
      <c r="E15" s="1"/>
      <c r="F15" s="1"/>
      <c r="G15" s="1"/>
      <c r="H15" s="1"/>
      <c r="I15" s="1"/>
      <c r="J15" s="1"/>
      <c r="K15" s="1"/>
      <c r="L15" s="1"/>
      <c r="M15" s="1"/>
    </row>
    <row r="16" spans="1:13" ht="12.75">
      <c r="A16" s="1"/>
      <c r="B16" s="1" t="s">
        <v>138</v>
      </c>
      <c r="C16" s="1"/>
      <c r="D16" s="1"/>
      <c r="E16" s="9">
        <f>100*(1-(E12/E8)^(1/3))</f>
        <v>-4.148675884996056</v>
      </c>
      <c r="F16" s="9">
        <f aca="true" t="shared" si="1" ref="F16:M16">100*(1-(F12/F8)^(1/3))</f>
        <v>-5.182952086795711</v>
      </c>
      <c r="G16" s="9">
        <f t="shared" si="1"/>
        <v>-6.102024990169186</v>
      </c>
      <c r="H16" s="9">
        <f t="shared" si="1"/>
        <v>-6.070639204689954</v>
      </c>
      <c r="I16" s="9">
        <f t="shared" si="1"/>
        <v>-6.3906551394139255</v>
      </c>
      <c r="J16" s="9">
        <f t="shared" si="1"/>
        <v>-6.443161016518695</v>
      </c>
      <c r="K16" s="9">
        <f t="shared" si="1"/>
        <v>-7.656707006088226</v>
      </c>
      <c r="L16" s="9">
        <f t="shared" si="1"/>
        <v>-0.3362947739225852</v>
      </c>
      <c r="M16" s="9">
        <f t="shared" si="1"/>
        <v>-6.443989279930329</v>
      </c>
    </row>
    <row r="17" spans="1:13" ht="18">
      <c r="A17" s="10"/>
      <c r="B17" s="10" t="s">
        <v>137</v>
      </c>
      <c r="C17" s="10"/>
      <c r="D17" s="10"/>
      <c r="E17" s="11">
        <f>IF(E16&gt;0,ROUNDDOWN(E16,1),ROUNDUP(E16,1))</f>
        <v>-4.199999999999999</v>
      </c>
      <c r="F17" s="11">
        <f aca="true" t="shared" si="2" ref="F17:K17">IF(F16&gt;0,ROUNDDOWN(F16,1),ROUNDUP(F16,1))</f>
        <v>-5.199999999999999</v>
      </c>
      <c r="G17" s="11">
        <f t="shared" si="2"/>
        <v>-6.199999999999999</v>
      </c>
      <c r="H17" s="11">
        <f t="shared" si="2"/>
        <v>-6.1</v>
      </c>
      <c r="I17" s="11">
        <f t="shared" si="2"/>
        <v>-6.3999999999999995</v>
      </c>
      <c r="J17" s="11">
        <f t="shared" si="2"/>
        <v>-6.5</v>
      </c>
      <c r="K17" s="11">
        <f t="shared" si="2"/>
        <v>-7.699999999999999</v>
      </c>
      <c r="L17" s="666">
        <f>'Berekening x-factor Westland'!E23</f>
        <v>-5</v>
      </c>
      <c r="M17" s="11">
        <f>IF(M16&gt;0,ROUNDDOWN(M16,1),ROUNDUP(M16,1))</f>
        <v>-6.5</v>
      </c>
    </row>
    <row r="23" spans="5:12" ht="12.75">
      <c r="E23" s="646"/>
      <c r="F23" s="646"/>
      <c r="G23" s="646"/>
      <c r="H23" s="646"/>
      <c r="I23" s="646"/>
      <c r="J23" s="646"/>
      <c r="K23" s="646"/>
      <c r="L23" s="646"/>
    </row>
    <row r="25" ht="12.75">
      <c r="L25" s="665"/>
    </row>
  </sheetData>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Blad4"/>
  <dimension ref="B2:M26"/>
  <sheetViews>
    <sheetView showGridLines="0" zoomScale="85" zoomScaleNormal="85" workbookViewId="0" topLeftCell="A1">
      <pane xSplit="4" ySplit="2" topLeftCell="E3" activePane="bottomRight" state="frozen"/>
      <selection pane="topLeft" activeCell="G36" sqref="G36"/>
      <selection pane="topRight" activeCell="G36" sqref="G36"/>
      <selection pane="bottomLeft" activeCell="G36" sqref="G36"/>
      <selection pane="bottomRight" activeCell="A1" sqref="A1"/>
    </sheetView>
  </sheetViews>
  <sheetFormatPr defaultColWidth="9.140625" defaultRowHeight="12.75"/>
  <cols>
    <col min="1" max="1" width="2.7109375" style="1" customWidth="1"/>
    <col min="2" max="2" width="41.00390625" style="1" customWidth="1"/>
    <col min="3" max="3" width="16.57421875" style="1" customWidth="1"/>
    <col min="4" max="4" width="13.8515625" style="1" customWidth="1"/>
    <col min="5" max="12" width="12.421875" style="1" customWidth="1"/>
    <col min="13" max="13" width="12.28125" style="1" customWidth="1"/>
    <col min="14" max="16384" width="9.140625" style="1" customWidth="1"/>
  </cols>
  <sheetData>
    <row r="2" spans="2:13" s="2" customFormat="1" ht="60">
      <c r="B2" s="3" t="s">
        <v>148</v>
      </c>
      <c r="C2" s="3"/>
      <c r="D2" s="3"/>
      <c r="E2" s="4" t="s">
        <v>139</v>
      </c>
      <c r="F2" s="4" t="s">
        <v>58</v>
      </c>
      <c r="G2" s="4" t="s">
        <v>388</v>
      </c>
      <c r="H2" s="4" t="s">
        <v>141</v>
      </c>
      <c r="I2" s="4" t="s">
        <v>142</v>
      </c>
      <c r="J2" s="4" t="s">
        <v>143</v>
      </c>
      <c r="K2" s="4" t="s">
        <v>140</v>
      </c>
      <c r="L2" s="4" t="s">
        <v>59</v>
      </c>
      <c r="M2" s="4" t="s">
        <v>145</v>
      </c>
    </row>
    <row r="5" spans="2:3" s="5" customFormat="1" ht="12.75">
      <c r="B5" s="6" t="s">
        <v>149</v>
      </c>
      <c r="C5" s="6"/>
    </row>
    <row r="7" spans="2:13" ht="12.75">
      <c r="B7" s="1" t="s">
        <v>150</v>
      </c>
      <c r="C7" s="1" t="s">
        <v>57</v>
      </c>
      <c r="D7" s="209">
        <f>Productiviteit!C38</f>
        <v>-0.012168469398419321</v>
      </c>
      <c r="E7" s="19"/>
      <c r="F7" s="19"/>
      <c r="G7" s="19"/>
      <c r="H7" s="19"/>
      <c r="I7" s="19"/>
      <c r="J7" s="19"/>
      <c r="K7" s="19"/>
      <c r="L7" s="19"/>
      <c r="M7" s="19"/>
    </row>
    <row r="8" spans="4:13" ht="12.75">
      <c r="D8" s="19"/>
      <c r="E8" s="220"/>
      <c r="F8" s="220"/>
      <c r="G8" s="220"/>
      <c r="H8" s="220"/>
      <c r="I8" s="220"/>
      <c r="J8" s="220"/>
      <c r="K8" s="220"/>
      <c r="L8" s="220"/>
      <c r="M8" s="220"/>
    </row>
    <row r="9" spans="2:13" ht="12.75">
      <c r="B9" s="1" t="s">
        <v>15</v>
      </c>
      <c r="C9" s="154" t="s">
        <v>56</v>
      </c>
      <c r="D9" s="19"/>
      <c r="E9" s="159">
        <f>1000*Kosten!E123</f>
        <v>16376286.40873405</v>
      </c>
      <c r="F9" s="159">
        <f>1000*Kosten!F123</f>
        <v>70651409.95621294</v>
      </c>
      <c r="G9" s="159">
        <f>1000*Kosten!G123</f>
        <v>30502490.82723447</v>
      </c>
      <c r="H9" s="159">
        <f>1000*Kosten!H123</f>
        <v>877655342.6433797</v>
      </c>
      <c r="I9" s="159">
        <f>1000*Kosten!I123</f>
        <v>919533683.2212079</v>
      </c>
      <c r="J9" s="159">
        <f>1000*Kosten!J123</f>
        <v>11964284.120476734</v>
      </c>
      <c r="K9" s="159">
        <f>1000*Kosten!K123</f>
        <v>690443274.4914598</v>
      </c>
      <c r="L9" s="159">
        <f>1000*Kosten!L123</f>
        <v>43864477.20489889</v>
      </c>
      <c r="M9" s="220"/>
    </row>
    <row r="10" spans="2:13" ht="12.75">
      <c r="B10" s="1" t="s">
        <v>151</v>
      </c>
      <c r="C10" s="154" t="s">
        <v>56</v>
      </c>
      <c r="D10" s="19"/>
      <c r="E10" s="159">
        <f>1000*'ORV Lokale Heffingen'!E58</f>
        <v>1025685.9704263947</v>
      </c>
      <c r="F10" s="159">
        <f>1000*'ORV Lokale Heffingen'!F58</f>
        <v>494009.98</v>
      </c>
      <c r="G10" s="159">
        <f>1000*'ORV Lokale Heffingen'!G58</f>
        <v>0</v>
      </c>
      <c r="H10" s="159">
        <f>1000*'ORV Lokale Heffingen'!H58</f>
        <v>1738000</v>
      </c>
      <c r="I10" s="159">
        <f>1000*'ORV Lokale Heffingen'!I58</f>
        <v>13649306.745956944</v>
      </c>
      <c r="J10" s="159">
        <f>1000*'ORV Lokale Heffingen'!J58</f>
        <v>983061.291764233</v>
      </c>
      <c r="K10" s="159">
        <f>1000*'ORV Lokale Heffingen'!K58</f>
        <v>15458974</v>
      </c>
      <c r="L10" s="159">
        <f>1000*'ORV Lokale Heffingen'!L58</f>
        <v>24340</v>
      </c>
      <c r="M10" s="220"/>
    </row>
    <row r="11" spans="2:13" ht="12.75">
      <c r="B11" s="1" t="s">
        <v>14</v>
      </c>
      <c r="C11" s="154" t="s">
        <v>56</v>
      </c>
      <c r="D11" s="19"/>
      <c r="E11" s="159">
        <f>E9-E10</f>
        <v>15350600.438307654</v>
      </c>
      <c r="F11" s="159">
        <f aca="true" t="shared" si="0" ref="F11:L11">F9-F10</f>
        <v>70157399.97621293</v>
      </c>
      <c r="G11" s="159">
        <f t="shared" si="0"/>
        <v>30502490.82723447</v>
      </c>
      <c r="H11" s="159">
        <f t="shared" si="0"/>
        <v>875917342.6433797</v>
      </c>
      <c r="I11" s="159">
        <f t="shared" si="0"/>
        <v>905884376.475251</v>
      </c>
      <c r="J11" s="159">
        <f t="shared" si="0"/>
        <v>10981222.8287125</v>
      </c>
      <c r="K11" s="159">
        <f t="shared" si="0"/>
        <v>674984300.4914598</v>
      </c>
      <c r="L11" s="159">
        <f t="shared" si="0"/>
        <v>43840137.20489889</v>
      </c>
      <c r="M11" s="159">
        <f>SUM(E11:L11)</f>
        <v>2627617870.885457</v>
      </c>
    </row>
    <row r="12" spans="2:12" ht="12.75">
      <c r="B12" s="1" t="s">
        <v>149</v>
      </c>
      <c r="C12" s="154" t="s">
        <v>55</v>
      </c>
      <c r="D12" s="159">
        <f>M11*(1-D7+CPI2010)</f>
        <v>2667474812.150723</v>
      </c>
      <c r="E12" s="220"/>
      <c r="F12" s="220"/>
      <c r="G12" s="220"/>
      <c r="H12" s="220"/>
      <c r="I12" s="220"/>
      <c r="J12" s="220"/>
      <c r="K12" s="220"/>
      <c r="L12" s="220"/>
    </row>
    <row r="15" spans="2:3" s="5" customFormat="1" ht="12.75">
      <c r="B15" s="6" t="s">
        <v>146</v>
      </c>
      <c r="C15" s="6"/>
    </row>
    <row r="17" spans="2:4" ht="12.75">
      <c r="B17" s="1" t="s">
        <v>387</v>
      </c>
      <c r="D17" s="114">
        <f>D12/SO!M47</f>
        <v>1.1491610797499832</v>
      </c>
    </row>
    <row r="18" spans="2:4" ht="12.75">
      <c r="B18" s="1" t="s">
        <v>13</v>
      </c>
      <c r="D18" s="114">
        <f>D17*(1-$D$7)^3</f>
        <v>1.1916242191358626</v>
      </c>
    </row>
    <row r="19" ht="12.75">
      <c r="D19" s="14"/>
    </row>
    <row r="20" spans="2:13" ht="12.75">
      <c r="B20" s="1" t="s">
        <v>51</v>
      </c>
      <c r="C20" s="154" t="s">
        <v>55</v>
      </c>
      <c r="D20" s="14"/>
      <c r="E20" s="159">
        <f>$D$18*SO!E47</f>
        <v>17516980.98710111</v>
      </c>
      <c r="F20" s="159">
        <f>$D$18*SO!F47</f>
        <v>70866292.26615416</v>
      </c>
      <c r="G20" s="159">
        <f>$D$18*SO!G47</f>
        <v>35698985.922251694</v>
      </c>
      <c r="H20" s="159">
        <f>$D$18*SO!H47</f>
        <v>948896065.7368629</v>
      </c>
      <c r="I20" s="159">
        <f>$D$18*SO!I47</f>
        <v>953640554.865695</v>
      </c>
      <c r="J20" s="159">
        <f>$D$18*SO!J47</f>
        <v>10604808.826779854</v>
      </c>
      <c r="K20" s="159">
        <f>$D$18*SO!K47</f>
        <v>688619868.5991464</v>
      </c>
      <c r="L20" s="159">
        <f>$D$18*SO!L47</f>
        <v>40198250.25545044</v>
      </c>
      <c r="M20" s="221">
        <f>SUM(E20:L20)</f>
        <v>2766041807.459441</v>
      </c>
    </row>
    <row r="21" spans="2:13" ht="12.75">
      <c r="B21" s="1" t="s">
        <v>52</v>
      </c>
      <c r="C21" s="154" t="s">
        <v>55</v>
      </c>
      <c r="D21" s="14"/>
      <c r="E21" s="159">
        <f>1000*'ORV Lokale Heffingen'!E64</f>
        <v>1028763.0283376739</v>
      </c>
      <c r="F21" s="159">
        <f>1000*'ORV Lokale Heffingen'!F64</f>
        <v>495492.00993999996</v>
      </c>
      <c r="G21" s="159">
        <f>1000*'ORV Lokale Heffingen'!G64</f>
        <v>0</v>
      </c>
      <c r="H21" s="159">
        <f>1000*'ORV Lokale Heffingen'!H64</f>
        <v>1743213.9999999998</v>
      </c>
      <c r="I21" s="159">
        <f>1000*'ORV Lokale Heffingen'!I64</f>
        <v>13690254.666194815</v>
      </c>
      <c r="J21" s="159">
        <f>1000*'ORV Lokale Heffingen'!J64</f>
        <v>986010.4756395257</v>
      </c>
      <c r="K21" s="159">
        <f>1000*'ORV Lokale Heffingen'!K64</f>
        <v>15505350.921999998</v>
      </c>
      <c r="L21" s="159">
        <f>1000*'ORV Lokale Heffingen'!L64</f>
        <v>24413.019999999997</v>
      </c>
      <c r="M21" s="221">
        <f>SUM(E21:L21)</f>
        <v>33473498.122112013</v>
      </c>
    </row>
    <row r="22" ht="12.75">
      <c r="D22" s="14"/>
    </row>
    <row r="23" spans="2:13" ht="12.75">
      <c r="B23" s="15" t="s">
        <v>146</v>
      </c>
      <c r="C23" s="154" t="s">
        <v>55</v>
      </c>
      <c r="E23" s="8">
        <f>E20+E21</f>
        <v>18545744.015438784</v>
      </c>
      <c r="F23" s="8">
        <f>F20+F21</f>
        <v>71361784.27609415</v>
      </c>
      <c r="G23" s="8">
        <f>G20+G21</f>
        <v>35698985.922251694</v>
      </c>
      <c r="H23" s="8">
        <f aca="true" t="shared" si="1" ref="H23:M23">H20+H21</f>
        <v>950639279.7368629</v>
      </c>
      <c r="I23" s="8">
        <f t="shared" si="1"/>
        <v>967330809.5318898</v>
      </c>
      <c r="J23" s="8">
        <f t="shared" si="1"/>
        <v>11590819.30241938</v>
      </c>
      <c r="K23" s="8">
        <f t="shared" si="1"/>
        <v>704125219.5211464</v>
      </c>
      <c r="L23" s="8">
        <f t="shared" si="1"/>
        <v>40222663.275450446</v>
      </c>
      <c r="M23" s="8">
        <f t="shared" si="1"/>
        <v>2799515305.581553</v>
      </c>
    </row>
    <row r="26" spans="5:12" ht="12.75">
      <c r="E26" s="16"/>
      <c r="F26" s="16"/>
      <c r="G26" s="16"/>
      <c r="H26" s="16"/>
      <c r="I26" s="16"/>
      <c r="J26" s="16"/>
      <c r="K26" s="16"/>
      <c r="L26" s="16"/>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Blad1"/>
  <dimension ref="B2:L47"/>
  <sheetViews>
    <sheetView showGridLines="0" zoomScale="85" zoomScaleNormal="85" workbookViewId="0" topLeftCell="A1">
      <pane xSplit="3" ySplit="2" topLeftCell="D3" activePane="bottomRight" state="frozen"/>
      <selection pane="topLeft" activeCell="G36" sqref="G36"/>
      <selection pane="topRight" activeCell="G36" sqref="G36"/>
      <selection pane="bottomLeft" activeCell="G36" sqref="G36"/>
      <selection pane="bottomRight" activeCell="C38" sqref="C38"/>
    </sheetView>
  </sheetViews>
  <sheetFormatPr defaultColWidth="9.140625" defaultRowHeight="12.75"/>
  <cols>
    <col min="1" max="1" width="2.421875" style="1" customWidth="1"/>
    <col min="2" max="2" width="62.00390625" style="1" customWidth="1"/>
    <col min="3" max="3" width="14.8515625" style="1" customWidth="1"/>
    <col min="4" max="5" width="11.57421875" style="1" bestFit="1" customWidth="1"/>
    <col min="6" max="6" width="12.57421875" style="1" bestFit="1" customWidth="1"/>
    <col min="7" max="7" width="12.140625" style="1" bestFit="1" customWidth="1"/>
    <col min="8" max="9" width="11.57421875" style="1" bestFit="1" customWidth="1"/>
    <col min="10" max="10" width="12.57421875" style="1" bestFit="1" customWidth="1"/>
    <col min="11" max="11" width="11.57421875" style="1" bestFit="1" customWidth="1"/>
    <col min="12" max="12" width="14.140625" style="1" bestFit="1" customWidth="1"/>
    <col min="13" max="16384" width="9.140625" style="1" customWidth="1"/>
  </cols>
  <sheetData>
    <row r="2" spans="2:12" s="2" customFormat="1" ht="60">
      <c r="B2" s="17" t="s">
        <v>152</v>
      </c>
      <c r="C2" s="17"/>
      <c r="D2" s="4" t="s">
        <v>139</v>
      </c>
      <c r="E2" s="4" t="s">
        <v>58</v>
      </c>
      <c r="F2" s="4" t="s">
        <v>388</v>
      </c>
      <c r="G2" s="4" t="s">
        <v>141</v>
      </c>
      <c r="H2" s="4" t="s">
        <v>142</v>
      </c>
      <c r="I2" s="4" t="s">
        <v>143</v>
      </c>
      <c r="J2" s="4" t="s">
        <v>140</v>
      </c>
      <c r="K2" s="4" t="s">
        <v>59</v>
      </c>
      <c r="L2" s="4" t="s">
        <v>145</v>
      </c>
    </row>
    <row r="4" ht="12.75">
      <c r="B4" s="237"/>
    </row>
    <row r="5" spans="2:3" ht="12.75">
      <c r="B5" s="15" t="s">
        <v>153</v>
      </c>
      <c r="C5" s="15"/>
    </row>
    <row r="6" spans="2:12" ht="12.75">
      <c r="B6" s="1" t="s">
        <v>154</v>
      </c>
      <c r="C6" s="1" t="s">
        <v>60</v>
      </c>
      <c r="D6" s="18">
        <f>Kosten!E30*1000</f>
        <v>14046975.651815215</v>
      </c>
      <c r="E6" s="18">
        <f>Kosten!F30*1000</f>
        <v>51886676.56030556</v>
      </c>
      <c r="F6" s="18">
        <f>Kosten!G30*1000</f>
        <v>28392775.323891893</v>
      </c>
      <c r="G6" s="18">
        <f>Kosten!H30*1000</f>
        <v>799755717.8642328</v>
      </c>
      <c r="H6" s="18">
        <f>Kosten!I30*1000</f>
        <v>747011785.2124404</v>
      </c>
      <c r="I6" s="18">
        <f>Kosten!J30*1000</f>
        <v>10654596.223903315</v>
      </c>
      <c r="J6" s="18">
        <f>Kosten!K30*1000</f>
        <v>560049919.5264734</v>
      </c>
      <c r="K6" s="18">
        <f>Kosten!L30*1000</f>
        <v>35498478.1529481</v>
      </c>
      <c r="L6" s="18">
        <f>SUM(D6:K6)</f>
        <v>2247296924.5160103</v>
      </c>
    </row>
    <row r="7" spans="2:12" ht="12.75">
      <c r="B7" s="1" t="s">
        <v>70</v>
      </c>
      <c r="C7" s="1" t="s">
        <v>60</v>
      </c>
      <c r="D7" s="18">
        <f>1000*'ORV Lokale Heffingen'!E16</f>
        <v>1131407.5466030654</v>
      </c>
      <c r="E7" s="18">
        <f>1000*'ORV Lokale Heffingen'!F16</f>
        <v>460239</v>
      </c>
      <c r="F7" s="18">
        <f>1000*'ORV Lokale Heffingen'!G16</f>
        <v>0</v>
      </c>
      <c r="G7" s="18">
        <f>1000*'ORV Lokale Heffingen'!H16</f>
        <v>1772800</v>
      </c>
      <c r="H7" s="18">
        <f>1000*'ORV Lokale Heffingen'!I16</f>
        <v>12580818</v>
      </c>
      <c r="I7" s="18">
        <f>1000*'ORV Lokale Heffingen'!J16</f>
        <v>1039990.4703148433</v>
      </c>
      <c r="J7" s="18">
        <f>1000*'ORV Lokale Heffingen'!K16</f>
        <v>14260108</v>
      </c>
      <c r="K7" s="18">
        <f>1000*'ORV Lokale Heffingen'!L16</f>
        <v>0</v>
      </c>
      <c r="L7" s="18">
        <f>SUM(D7:K7)</f>
        <v>31245363.016917907</v>
      </c>
    </row>
    <row r="8" spans="2:12" ht="12.75">
      <c r="B8" s="15" t="s">
        <v>8</v>
      </c>
      <c r="C8" s="1" t="s">
        <v>60</v>
      </c>
      <c r="D8" s="18">
        <f>D6-D7</f>
        <v>12915568.10521215</v>
      </c>
      <c r="E8" s="18">
        <f aca="true" t="shared" si="0" ref="E8:K8">E6-E7</f>
        <v>51426437.56030556</v>
      </c>
      <c r="F8" s="18">
        <f t="shared" si="0"/>
        <v>28392775.323891893</v>
      </c>
      <c r="G8" s="18">
        <f t="shared" si="0"/>
        <v>797982917.8642328</v>
      </c>
      <c r="H8" s="18">
        <f t="shared" si="0"/>
        <v>734430967.2124404</v>
      </c>
      <c r="I8" s="18">
        <f t="shared" si="0"/>
        <v>9614605.753588472</v>
      </c>
      <c r="J8" s="18">
        <f t="shared" si="0"/>
        <v>545789811.5264734</v>
      </c>
      <c r="K8" s="18">
        <f t="shared" si="0"/>
        <v>35498478.1529481</v>
      </c>
      <c r="L8" s="18">
        <f>SUM(D8:K8)</f>
        <v>2216051561.4990926</v>
      </c>
    </row>
    <row r="9" spans="2:12" s="101" customFormat="1" ht="12.75">
      <c r="B9" s="102"/>
      <c r="C9" s="102"/>
      <c r="D9" s="69"/>
      <c r="E9" s="69"/>
      <c r="F9" s="69"/>
      <c r="G9" s="69"/>
      <c r="H9" s="69"/>
      <c r="I9" s="69"/>
      <c r="J9" s="69"/>
      <c r="K9" s="69"/>
      <c r="L9" s="69"/>
    </row>
    <row r="10" spans="2:12" ht="12.75">
      <c r="B10" s="1" t="s">
        <v>156</v>
      </c>
      <c r="C10" s="1" t="s">
        <v>61</v>
      </c>
      <c r="D10" s="18">
        <f>Kosten!E57*1000</f>
        <v>14517524.867202278</v>
      </c>
      <c r="E10" s="18">
        <f>Kosten!F57*1000</f>
        <v>62352244.85140806</v>
      </c>
      <c r="F10" s="18">
        <f>Kosten!G57*1000</f>
        <v>30134775.530112557</v>
      </c>
      <c r="G10" s="18">
        <f>Kosten!H57*1000</f>
        <v>812609942.7861061</v>
      </c>
      <c r="H10" s="18">
        <f>Kosten!I57*1000</f>
        <v>770582419.7292544</v>
      </c>
      <c r="I10" s="18">
        <f>Kosten!J57*1000</f>
        <v>11328842.580396246</v>
      </c>
      <c r="J10" s="18">
        <f>Kosten!K57*1000</f>
        <v>587792578.7842261</v>
      </c>
      <c r="K10" s="18">
        <f>Kosten!L57*1000</f>
        <v>37950679.967875086</v>
      </c>
      <c r="L10" s="18">
        <f>SUM(D10:K10)</f>
        <v>2327269009.0965805</v>
      </c>
    </row>
    <row r="11" spans="2:12" ht="12.75">
      <c r="B11" s="1" t="s">
        <v>383</v>
      </c>
      <c r="C11" s="1" t="s">
        <v>61</v>
      </c>
      <c r="D11" s="18">
        <f>1000*'ORV Lokale Heffingen'!E30</f>
        <v>1089288.9720953787</v>
      </c>
      <c r="E11" s="18">
        <f>1000*'ORV Lokale Heffingen'!F30</f>
        <v>451936</v>
      </c>
      <c r="F11" s="18">
        <f>1000*'ORV Lokale Heffingen'!G30</f>
        <v>0</v>
      </c>
      <c r="G11" s="18">
        <f>1000*'ORV Lokale Heffingen'!H30</f>
        <v>1673000</v>
      </c>
      <c r="H11" s="18">
        <f>1000*'ORV Lokale Heffingen'!I30</f>
        <v>14310348.46000618</v>
      </c>
      <c r="I11" s="18">
        <f>1000*'ORV Lokale Heffingen'!J30</f>
        <v>1017192.3386837961</v>
      </c>
      <c r="J11" s="18">
        <f>1000*'ORV Lokale Heffingen'!K30</f>
        <v>14323928</v>
      </c>
      <c r="K11" s="18">
        <f>1000*'ORV Lokale Heffingen'!L30</f>
        <v>25000</v>
      </c>
      <c r="L11" s="18">
        <f>SUM(D11:K11)</f>
        <v>32890693.770785354</v>
      </c>
    </row>
    <row r="12" spans="2:12" ht="12.75">
      <c r="B12" s="15" t="s">
        <v>9</v>
      </c>
      <c r="C12" s="1" t="s">
        <v>61</v>
      </c>
      <c r="D12" s="18">
        <f>D10-D11</f>
        <v>13428235.8951069</v>
      </c>
      <c r="E12" s="18">
        <f aca="true" t="shared" si="1" ref="E12:K12">E10-E11</f>
        <v>61900308.85140806</v>
      </c>
      <c r="F12" s="18">
        <f t="shared" si="1"/>
        <v>30134775.530112557</v>
      </c>
      <c r="G12" s="18">
        <f t="shared" si="1"/>
        <v>810936942.7861061</v>
      </c>
      <c r="H12" s="18">
        <f t="shared" si="1"/>
        <v>756272071.2692481</v>
      </c>
      <c r="I12" s="18">
        <f t="shared" si="1"/>
        <v>10311650.241712451</v>
      </c>
      <c r="J12" s="18">
        <f t="shared" si="1"/>
        <v>573468650.7842261</v>
      </c>
      <c r="K12" s="18">
        <f t="shared" si="1"/>
        <v>37925679.967875086</v>
      </c>
      <c r="L12" s="18">
        <f>SUM(D12:K12)</f>
        <v>2294378315.325795</v>
      </c>
    </row>
    <row r="13" spans="2:12" s="101" customFormat="1" ht="12.75">
      <c r="B13" s="102"/>
      <c r="C13" s="102"/>
      <c r="D13" s="69"/>
      <c r="E13" s="69"/>
      <c r="F13" s="69"/>
      <c r="G13" s="69"/>
      <c r="H13" s="69"/>
      <c r="I13" s="69"/>
      <c r="J13" s="69"/>
      <c r="K13" s="69"/>
      <c r="L13" s="69"/>
    </row>
    <row r="14" spans="2:12" ht="12.75">
      <c r="B14" s="1" t="s">
        <v>157</v>
      </c>
      <c r="C14" s="1" t="s">
        <v>62</v>
      </c>
      <c r="D14" s="18">
        <f>Kosten!E85*1000</f>
        <v>14547491.13103103</v>
      </c>
      <c r="E14" s="18">
        <f>Kosten!F85*1000</f>
        <v>58605900.262548774</v>
      </c>
      <c r="F14" s="18">
        <f>Kosten!G85*1000</f>
        <v>28231118.220608484</v>
      </c>
      <c r="G14" s="18">
        <f>Kosten!H85*1000</f>
        <v>800146462.5997778</v>
      </c>
      <c r="H14" s="18">
        <f>Kosten!I85*1000</f>
        <v>740324794.3340535</v>
      </c>
      <c r="I14" s="18">
        <f>Kosten!J85*1000</f>
        <v>10899797.625224432</v>
      </c>
      <c r="J14" s="18">
        <f>Kosten!K85*1000</f>
        <v>620991839.5414469</v>
      </c>
      <c r="K14" s="18">
        <f>Kosten!L85*1000</f>
        <v>38173092.492781624</v>
      </c>
      <c r="L14" s="18">
        <f>SUM(D14:K14)</f>
        <v>2311920496.207473</v>
      </c>
    </row>
    <row r="15" spans="2:12" ht="12.75">
      <c r="B15" s="1" t="s">
        <v>384</v>
      </c>
      <c r="C15" s="1" t="s">
        <v>62</v>
      </c>
      <c r="D15" s="18">
        <f>1000*'ORV Lokale Heffingen'!E44</f>
        <v>1043700.4835465368</v>
      </c>
      <c r="E15" s="18">
        <f>1000*'ORV Lokale Heffingen'!F44</f>
        <v>482726</v>
      </c>
      <c r="F15" s="18">
        <f>1000*'ORV Lokale Heffingen'!G44</f>
        <v>0</v>
      </c>
      <c r="G15" s="18">
        <f>1000*'ORV Lokale Heffingen'!H44</f>
        <v>1677000</v>
      </c>
      <c r="H15" s="18">
        <f>1000*'ORV Lokale Heffingen'!I44</f>
        <v>14012000</v>
      </c>
      <c r="I15" s="18">
        <f>1000*'ORV Lokale Heffingen'!J44</f>
        <v>990496.0197134926</v>
      </c>
      <c r="J15" s="18">
        <f>1000*'ORV Lokale Heffingen'!K44</f>
        <v>14761361</v>
      </c>
      <c r="K15" s="18">
        <f>1000*'ORV Lokale Heffingen'!L44</f>
        <v>13000</v>
      </c>
      <c r="L15" s="18">
        <f>SUM(D15:K15)</f>
        <v>32980283.503260028</v>
      </c>
    </row>
    <row r="16" spans="2:12" ht="12.75">
      <c r="B16" s="15" t="s">
        <v>10</v>
      </c>
      <c r="C16" s="1" t="s">
        <v>62</v>
      </c>
      <c r="D16" s="18">
        <f>D14-D15</f>
        <v>13503790.647484494</v>
      </c>
      <c r="E16" s="18">
        <f aca="true" t="shared" si="2" ref="E16:K16">E14-E15</f>
        <v>58123174.262548774</v>
      </c>
      <c r="F16" s="18">
        <f t="shared" si="2"/>
        <v>28231118.220608484</v>
      </c>
      <c r="G16" s="18">
        <f t="shared" si="2"/>
        <v>798469462.5997778</v>
      </c>
      <c r="H16" s="18">
        <f t="shared" si="2"/>
        <v>726312794.3340535</v>
      </c>
      <c r="I16" s="18">
        <f t="shared" si="2"/>
        <v>9909301.605510939</v>
      </c>
      <c r="J16" s="18">
        <f t="shared" si="2"/>
        <v>606230478.5414469</v>
      </c>
      <c r="K16" s="18">
        <f t="shared" si="2"/>
        <v>38160092.492781624</v>
      </c>
      <c r="L16" s="18">
        <f>SUM(D16:K16)</f>
        <v>2278940212.7042127</v>
      </c>
    </row>
    <row r="17" spans="2:12" s="101" customFormat="1" ht="12.75">
      <c r="B17" s="102"/>
      <c r="C17" s="102"/>
      <c r="D17" s="69"/>
      <c r="E17" s="69"/>
      <c r="F17" s="69"/>
      <c r="G17" s="69"/>
      <c r="H17" s="69"/>
      <c r="I17" s="69"/>
      <c r="J17" s="69"/>
      <c r="K17" s="69"/>
      <c r="L17" s="69"/>
    </row>
    <row r="18" spans="2:12" ht="12.75">
      <c r="B18" s="1" t="s">
        <v>158</v>
      </c>
      <c r="C18" s="1" t="s">
        <v>56</v>
      </c>
      <c r="D18" s="18">
        <f>Kosten!E113*1000</f>
        <v>15378892.828989483</v>
      </c>
      <c r="E18" s="18">
        <f>Kosten!F113*1000</f>
        <v>65155669.51621293</v>
      </c>
      <c r="F18" s="18">
        <f>Kosten!G113*1000</f>
        <v>28752747.517234467</v>
      </c>
      <c r="G18" s="18">
        <f>Kosten!H113*1000</f>
        <v>821597038.1333798</v>
      </c>
      <c r="H18" s="18">
        <f>Kosten!I113*1000</f>
        <v>868595180.7745411</v>
      </c>
      <c r="I18" s="18">
        <f>Kosten!J113*1000</f>
        <v>11473179.930476734</v>
      </c>
      <c r="J18" s="18">
        <f>Kosten!K113*1000</f>
        <v>639772007.0314598</v>
      </c>
      <c r="K18" s="18">
        <f>Kosten!L113*1000</f>
        <v>40825927.22489888</v>
      </c>
      <c r="L18" s="18">
        <f>SUM(D18:K18)</f>
        <v>2491550642.957193</v>
      </c>
    </row>
    <row r="19" spans="2:12" ht="12.75">
      <c r="B19" s="1" t="s">
        <v>385</v>
      </c>
      <c r="C19" s="1" t="s">
        <v>56</v>
      </c>
      <c r="D19" s="18">
        <f>1000*'ORV Lokale Heffingen'!E58</f>
        <v>1025685.9704263947</v>
      </c>
      <c r="E19" s="18">
        <f>1000*'ORV Lokale Heffingen'!F58</f>
        <v>494009.98</v>
      </c>
      <c r="F19" s="18">
        <f>1000*'ORV Lokale Heffingen'!G58</f>
        <v>0</v>
      </c>
      <c r="G19" s="18">
        <f>1000*'ORV Lokale Heffingen'!H58</f>
        <v>1738000</v>
      </c>
      <c r="H19" s="18">
        <f>1000*'ORV Lokale Heffingen'!I58</f>
        <v>13649306.745956944</v>
      </c>
      <c r="I19" s="18">
        <f>1000*'ORV Lokale Heffingen'!J58</f>
        <v>983061.291764233</v>
      </c>
      <c r="J19" s="18">
        <f>1000*'ORV Lokale Heffingen'!K58</f>
        <v>15458974</v>
      </c>
      <c r="K19" s="18">
        <f>1000*'ORV Lokale Heffingen'!L58</f>
        <v>24340</v>
      </c>
      <c r="L19" s="18">
        <f>SUM(D19:K19)</f>
        <v>33373377.98814757</v>
      </c>
    </row>
    <row r="20" spans="2:12" ht="12.75">
      <c r="B20" s="15" t="s">
        <v>11</v>
      </c>
      <c r="C20" s="1" t="s">
        <v>56</v>
      </c>
      <c r="D20" s="18">
        <f>D18-D19</f>
        <v>14353206.858563088</v>
      </c>
      <c r="E20" s="18">
        <f aca="true" t="shared" si="3" ref="E20:K20">E18-E19</f>
        <v>64661659.536212936</v>
      </c>
      <c r="F20" s="18">
        <f t="shared" si="3"/>
        <v>28752747.517234467</v>
      </c>
      <c r="G20" s="18">
        <f t="shared" si="3"/>
        <v>819859038.1333798</v>
      </c>
      <c r="H20" s="18">
        <f t="shared" si="3"/>
        <v>854945874.0285842</v>
      </c>
      <c r="I20" s="18">
        <f t="shared" si="3"/>
        <v>10490118.638712501</v>
      </c>
      <c r="J20" s="18">
        <f t="shared" si="3"/>
        <v>624313033.0314598</v>
      </c>
      <c r="K20" s="18">
        <f t="shared" si="3"/>
        <v>40801587.22489888</v>
      </c>
      <c r="L20" s="18">
        <f>SUM(D20:K20)</f>
        <v>2458177264.9690456</v>
      </c>
    </row>
    <row r="21" spans="4:12" ht="12.75">
      <c r="D21" s="19"/>
      <c r="E21" s="19"/>
      <c r="F21" s="19"/>
      <c r="G21" s="19"/>
      <c r="H21" s="19"/>
      <c r="I21" s="19"/>
      <c r="J21" s="19"/>
      <c r="K21" s="19"/>
      <c r="L21" s="19"/>
    </row>
    <row r="22" spans="2:12" ht="12.75">
      <c r="B22" s="1" t="s">
        <v>9</v>
      </c>
      <c r="C22" s="1" t="s">
        <v>60</v>
      </c>
      <c r="D22" s="18">
        <f>D12/(1+CPI2007)</f>
        <v>13242836.188468343</v>
      </c>
      <c r="E22" s="18">
        <f aca="true" t="shared" si="4" ref="E22:K22">E12/(1+CPI2007)</f>
        <v>61045669.478706166</v>
      </c>
      <c r="F22" s="18">
        <f t="shared" si="4"/>
        <v>29718713.540544927</v>
      </c>
      <c r="G22" s="18">
        <f t="shared" si="4"/>
        <v>799740574.7397496</v>
      </c>
      <c r="H22" s="18">
        <f t="shared" si="4"/>
        <v>745830445.0387062</v>
      </c>
      <c r="I22" s="18">
        <f t="shared" si="4"/>
        <v>10169280.31727066</v>
      </c>
      <c r="J22" s="18">
        <f t="shared" si="4"/>
        <v>565550937.6570277</v>
      </c>
      <c r="K22" s="18">
        <f t="shared" si="4"/>
        <v>37402051.25036991</v>
      </c>
      <c r="L22" s="18">
        <f>SUM(D22:K22)</f>
        <v>2262700508.2108436</v>
      </c>
    </row>
    <row r="23" spans="2:12" ht="12.75">
      <c r="B23" s="1" t="s">
        <v>10</v>
      </c>
      <c r="C23" s="1" t="s">
        <v>61</v>
      </c>
      <c r="D23" s="18">
        <f>D16/(1+CPI2008)</f>
        <v>13356865.131043022</v>
      </c>
      <c r="E23" s="18">
        <f aca="true" t="shared" si="5" ref="E23:K23">E16/(1+CPI2008)</f>
        <v>57490775.72952402</v>
      </c>
      <c r="F23" s="18">
        <f t="shared" si="5"/>
        <v>27923954.718702756</v>
      </c>
      <c r="G23" s="18">
        <f t="shared" si="5"/>
        <v>789781862.1164964</v>
      </c>
      <c r="H23" s="18">
        <f t="shared" si="5"/>
        <v>718410281.2404091</v>
      </c>
      <c r="I23" s="18">
        <f t="shared" si="5"/>
        <v>9801485.267567696</v>
      </c>
      <c r="J23" s="18">
        <f t="shared" si="5"/>
        <v>599634499.0518763</v>
      </c>
      <c r="K23" s="18">
        <f t="shared" si="5"/>
        <v>37744898.608092606</v>
      </c>
      <c r="L23" s="18">
        <f>SUM(D23:K23)</f>
        <v>2254144621.863712</v>
      </c>
    </row>
    <row r="24" spans="2:12" ht="12.75">
      <c r="B24" s="1" t="s">
        <v>11</v>
      </c>
      <c r="C24" s="1" t="s">
        <v>62</v>
      </c>
      <c r="D24" s="18">
        <f>D20/(1+CPI2009)</f>
        <v>13908146.180778185</v>
      </c>
      <c r="E24" s="18">
        <f aca="true" t="shared" si="6" ref="E24:K24">E20/(1+CPI2009)</f>
        <v>62656646.837415636</v>
      </c>
      <c r="F24" s="18">
        <f t="shared" si="6"/>
        <v>27861189.45468456</v>
      </c>
      <c r="G24" s="18">
        <f t="shared" si="6"/>
        <v>794437052.4548254</v>
      </c>
      <c r="H24" s="18">
        <f t="shared" si="6"/>
        <v>828435924.4463025</v>
      </c>
      <c r="I24" s="18">
        <f t="shared" si="6"/>
        <v>10164843.642163277</v>
      </c>
      <c r="J24" s="18">
        <f t="shared" si="6"/>
        <v>604954489.3715695</v>
      </c>
      <c r="K24" s="18">
        <f t="shared" si="6"/>
        <v>39536421.72955318</v>
      </c>
      <c r="L24" s="18">
        <f>SUM(D24:K24)</f>
        <v>2381954714.1172924</v>
      </c>
    </row>
    <row r="25" spans="4:12" ht="12.75">
      <c r="D25" s="19"/>
      <c r="E25" s="19"/>
      <c r="F25" s="19"/>
      <c r="G25" s="19"/>
      <c r="H25" s="19"/>
      <c r="I25" s="19"/>
      <c r="J25" s="19"/>
      <c r="K25" s="19"/>
      <c r="L25" s="19"/>
    </row>
    <row r="26" spans="2:12" ht="12.75">
      <c r="B26" s="15" t="s">
        <v>155</v>
      </c>
      <c r="C26" s="15"/>
      <c r="D26" s="19"/>
      <c r="E26" s="19"/>
      <c r="F26" s="19"/>
      <c r="G26" s="19"/>
      <c r="H26" s="19"/>
      <c r="I26" s="19"/>
      <c r="J26" s="19"/>
      <c r="K26" s="19"/>
      <c r="L26" s="19"/>
    </row>
    <row r="27" spans="2:12" ht="12.75">
      <c r="B27" s="101" t="s">
        <v>389</v>
      </c>
      <c r="C27" s="101"/>
      <c r="D27" s="18">
        <f>SO!E6+SO!E7</f>
        <v>13442381.358150914</v>
      </c>
      <c r="E27" s="18">
        <f>SO!F6+SO!F7</f>
        <v>64800082.5308975</v>
      </c>
      <c r="F27" s="18">
        <f>SO!G6+SO!G7</f>
        <v>27917656.02801154</v>
      </c>
      <c r="G27" s="18">
        <f>SO!H6+SO!H7</f>
        <v>726877787.1520673</v>
      </c>
      <c r="H27" s="18">
        <f>SO!I6+SO!I7</f>
        <v>750790269.4021095</v>
      </c>
      <c r="I27" s="18">
        <f>SO!J6+SO!J7</f>
        <v>8288892.5516019715</v>
      </c>
      <c r="J27" s="18">
        <f>SO!K6+SO!K7</f>
        <v>529679004.4692032</v>
      </c>
      <c r="K27" s="18">
        <f>SO!L6+SO!L7</f>
        <v>30927946.384880975</v>
      </c>
      <c r="L27" s="18">
        <f>SUM(D27:K27)</f>
        <v>2152724019.8769226</v>
      </c>
    </row>
    <row r="28" spans="2:12" ht="12.75">
      <c r="B28" s="101" t="s">
        <v>390</v>
      </c>
      <c r="C28" s="101"/>
      <c r="D28" s="18">
        <f>SO!E15+SO!E16</f>
        <v>13616266.460060483</v>
      </c>
      <c r="E28" s="18">
        <f>SO!F15+SO!F16</f>
        <v>64842704.26752729</v>
      </c>
      <c r="F28" s="18">
        <f>SO!G15+SO!G16</f>
        <v>27560863.970115814</v>
      </c>
      <c r="G28" s="18">
        <f>SO!H15+SO!H16</f>
        <v>742501321.6510236</v>
      </c>
      <c r="H28" s="18">
        <f>SO!I15+SO!I16</f>
        <v>753243464.9117019</v>
      </c>
      <c r="I28" s="18">
        <f>SO!J15+SO!J16</f>
        <v>8205603.582307889</v>
      </c>
      <c r="J28" s="18">
        <f>SO!K15+SO!K16</f>
        <v>536231842.53638786</v>
      </c>
      <c r="K28" s="18">
        <f>SO!L15+SO!L16</f>
        <v>31822212.945506305</v>
      </c>
      <c r="L28" s="18">
        <f>SUM(D28:K28)</f>
        <v>2178024280.324631</v>
      </c>
    </row>
    <row r="29" spans="2:12" ht="12.75">
      <c r="B29" s="101" t="s">
        <v>391</v>
      </c>
      <c r="C29" s="101"/>
      <c r="D29" s="18">
        <f>SO!E24+SO!E25</f>
        <v>13868279.485144738</v>
      </c>
      <c r="E29" s="18">
        <f>SO!F24+SO!F25</f>
        <v>52691973.81487243</v>
      </c>
      <c r="F29" s="18">
        <f>SO!G24+SO!G25</f>
        <v>28080856.6842869</v>
      </c>
      <c r="G29" s="18">
        <f>SO!H24+SO!H25</f>
        <v>697971222.2351619</v>
      </c>
      <c r="H29" s="18">
        <f>SO!I24+SO!I25</f>
        <v>751808327.6822592</v>
      </c>
      <c r="I29" s="18">
        <f>SO!J24+SO!J25</f>
        <v>8340249.830081435</v>
      </c>
      <c r="J29" s="18">
        <f>SO!K24+SO!K25</f>
        <v>534343209.8812402</v>
      </c>
      <c r="K29" s="18">
        <f>SO!L24+SO!L25</f>
        <v>31664276.559778087</v>
      </c>
      <c r="L29" s="18">
        <f>SUM(D29:K29)</f>
        <v>2118768396.1728249</v>
      </c>
    </row>
    <row r="30" spans="2:12" ht="12.75">
      <c r="B30" s="101" t="s">
        <v>392</v>
      </c>
      <c r="C30" s="101"/>
      <c r="D30" s="18">
        <f>SO!E33+SO!E34</f>
        <v>13839117.29241056</v>
      </c>
      <c r="E30" s="18">
        <f>SO!F33+SO!F34</f>
        <v>54284752.12326429</v>
      </c>
      <c r="F30" s="18">
        <f>SO!G33+SO!G34</f>
        <v>28175035.630034678</v>
      </c>
      <c r="G30" s="18">
        <f>SO!H33+SO!H34</f>
        <v>739122164.017565</v>
      </c>
      <c r="H30" s="18">
        <f>SO!I33+SO!I34</f>
        <v>754434968.1694643</v>
      </c>
      <c r="I30" s="18">
        <f>SO!J33+SO!J34</f>
        <v>8458779.60581533</v>
      </c>
      <c r="J30" s="18">
        <f>SO!K33+SO!K34</f>
        <v>530239582.6721346</v>
      </c>
      <c r="K30" s="18">
        <f>SO!L33+SO!L34</f>
        <v>30961256.779238794</v>
      </c>
      <c r="L30" s="18">
        <f>SUM(D30:K30)</f>
        <v>2159515656.289928</v>
      </c>
    </row>
    <row r="31" spans="4:12" ht="12.75">
      <c r="D31" s="19"/>
      <c r="E31" s="19"/>
      <c r="F31" s="19"/>
      <c r="G31" s="19"/>
      <c r="H31" s="19"/>
      <c r="I31" s="19"/>
      <c r="J31" s="19"/>
      <c r="K31" s="19"/>
      <c r="L31" s="19"/>
    </row>
    <row r="32" spans="2:12" ht="12.75">
      <c r="B32" s="15" t="s">
        <v>128</v>
      </c>
      <c r="C32" s="15"/>
      <c r="D32" s="19"/>
      <c r="E32" s="19"/>
      <c r="F32" s="19"/>
      <c r="G32" s="19"/>
      <c r="H32" s="19"/>
      <c r="I32" s="19"/>
      <c r="J32" s="19"/>
      <c r="K32" s="19"/>
      <c r="L32" s="19"/>
    </row>
    <row r="33" spans="2:12" ht="12.75">
      <c r="B33" s="1" t="s">
        <v>159</v>
      </c>
      <c r="D33" s="20">
        <f>(D8/D27-D22/D28)/(D8/D27)</f>
        <v>-0.012245054352478479</v>
      </c>
      <c r="E33" s="20">
        <f aca="true" t="shared" si="7" ref="E33:L33">(E8/E27-E22/E28)/(E8/E27)</f>
        <v>-0.1862681232435526</v>
      </c>
      <c r="F33" s="20">
        <f t="shared" si="7"/>
        <v>-0.060250008080638316</v>
      </c>
      <c r="G33" s="20">
        <f t="shared" si="7"/>
        <v>0.01888548226232325</v>
      </c>
      <c r="H33" s="20">
        <f t="shared" si="7"/>
        <v>-0.012214116448099077</v>
      </c>
      <c r="I33" s="20">
        <f t="shared" si="7"/>
        <v>-0.06842665935095187</v>
      </c>
      <c r="J33" s="20">
        <f t="shared" si="7"/>
        <v>-0.023543869461837327</v>
      </c>
      <c r="K33" s="20">
        <f t="shared" si="7"/>
        <v>-0.024015174378489275</v>
      </c>
      <c r="L33" s="20">
        <f t="shared" si="7"/>
        <v>-0.009189801676685865</v>
      </c>
    </row>
    <row r="34" spans="2:12" ht="12.75">
      <c r="B34" s="1" t="s">
        <v>160</v>
      </c>
      <c r="D34" s="20">
        <f aca="true" t="shared" si="8" ref="D34:L34">(D12/D28-D23/D29)/(D12/D28)</f>
        <v>0.02339029636743736</v>
      </c>
      <c r="E34" s="20">
        <f t="shared" si="8"/>
        <v>-0.14293624201761843</v>
      </c>
      <c r="F34" s="20">
        <f t="shared" si="8"/>
        <v>0.09052358993855678</v>
      </c>
      <c r="G34" s="20">
        <f t="shared" si="8"/>
        <v>-0.036047779944510375</v>
      </c>
      <c r="H34" s="20">
        <f t="shared" si="8"/>
        <v>0.048250369377169054</v>
      </c>
      <c r="I34" s="20">
        <f t="shared" si="8"/>
        <v>0.06482004441075429</v>
      </c>
      <c r="J34" s="20">
        <f t="shared" si="8"/>
        <v>-0.049323101668731745</v>
      </c>
      <c r="K34" s="20">
        <f t="shared" si="8"/>
        <v>-0.00019733867957354942</v>
      </c>
      <c r="L34" s="20">
        <f t="shared" si="8"/>
        <v>-0.009940939499502838</v>
      </c>
    </row>
    <row r="35" spans="2:12" ht="12.75">
      <c r="B35" s="1" t="s">
        <v>161</v>
      </c>
      <c r="D35" s="20">
        <f aca="true" t="shared" si="9" ref="D35:L35">(D16/D29-D24/D30)/(D16/D29)</f>
        <v>-0.03211418164285772</v>
      </c>
      <c r="E35" s="20">
        <f t="shared" si="9"/>
        <v>-0.04636796060675981</v>
      </c>
      <c r="F35" s="20">
        <f t="shared" si="9"/>
        <v>0.016402419269763886</v>
      </c>
      <c r="G35" s="20">
        <f t="shared" si="9"/>
        <v>0.060444430499109573</v>
      </c>
      <c r="H35" s="20">
        <f t="shared" si="9"/>
        <v>-0.13663375986084447</v>
      </c>
      <c r="I35" s="20">
        <f t="shared" si="9"/>
        <v>-0.011414105242213273</v>
      </c>
      <c r="J35" s="20">
        <f t="shared" si="9"/>
        <v>-0.005618112825636636</v>
      </c>
      <c r="K35" s="20">
        <f t="shared" si="9"/>
        <v>-0.05959263457552784</v>
      </c>
      <c r="L35" s="20">
        <f t="shared" si="9"/>
        <v>-0.02548118831521561</v>
      </c>
    </row>
    <row r="36" spans="4:12" ht="12.75">
      <c r="D36" s="21"/>
      <c r="E36" s="21"/>
      <c r="F36" s="21"/>
      <c r="G36" s="21"/>
      <c r="H36" s="21"/>
      <c r="I36" s="21"/>
      <c r="J36" s="21"/>
      <c r="K36" s="21"/>
      <c r="L36" s="21"/>
    </row>
    <row r="37" spans="4:12" ht="12.75">
      <c r="D37" s="21"/>
      <c r="E37" s="21"/>
      <c r="F37" s="21"/>
      <c r="G37" s="21"/>
      <c r="H37" s="21"/>
      <c r="I37" s="21"/>
      <c r="J37" s="21"/>
      <c r="K37" s="21"/>
      <c r="L37" s="21"/>
    </row>
    <row r="38" spans="2:3" s="22" customFormat="1" ht="18">
      <c r="B38" s="22" t="s">
        <v>316</v>
      </c>
      <c r="C38" s="97">
        <v>-0.012168469398419321</v>
      </c>
    </row>
    <row r="40" spans="2:4" ht="12.75">
      <c r="B40" s="24" t="s">
        <v>251</v>
      </c>
      <c r="C40" s="265">
        <f>(1-C38)+(1-C38)^2+(1-C38)^3</f>
        <v>3.073604904785829</v>
      </c>
      <c r="D40" s="24"/>
    </row>
    <row r="41" spans="2:4" ht="12.75">
      <c r="B41" s="24" t="s">
        <v>252</v>
      </c>
      <c r="C41" s="265">
        <f>(1-L33)+(1-L33)*(1-L34)+(1-L33)*(1-L34)*(1-L35)</f>
        <v>3.0736049847284064</v>
      </c>
      <c r="D41" s="24"/>
    </row>
    <row r="42" spans="2:8" ht="12.75">
      <c r="B42" s="24" t="s">
        <v>253</v>
      </c>
      <c r="C42" s="96">
        <f>C41-C40</f>
        <v>7.994257744670108E-08</v>
      </c>
      <c r="D42" s="24"/>
      <c r="E42" s="95"/>
      <c r="F42" s="95"/>
      <c r="G42" s="95"/>
      <c r="H42" s="95"/>
    </row>
    <row r="43" spans="2:8" ht="12.75">
      <c r="B43" s="24"/>
      <c r="C43" s="24"/>
      <c r="D43" s="24"/>
      <c r="E43" s="95"/>
      <c r="F43" s="95"/>
      <c r="G43" s="95"/>
      <c r="H43" s="95"/>
    </row>
    <row r="44" spans="2:8" ht="12.75">
      <c r="B44" s="24"/>
      <c r="C44" s="24"/>
      <c r="D44" s="24"/>
      <c r="E44" s="95"/>
      <c r="F44" s="95"/>
      <c r="G44" s="95"/>
      <c r="H44" s="95"/>
    </row>
    <row r="45" spans="2:8" ht="12.75">
      <c r="B45" s="24"/>
      <c r="C45" s="24"/>
      <c r="D45" s="24"/>
      <c r="E45" s="95"/>
      <c r="F45" s="95"/>
      <c r="G45" s="95"/>
      <c r="H45" s="95"/>
    </row>
    <row r="46" spans="2:8" ht="12.75">
      <c r="B46" s="24"/>
      <c r="C46" s="24"/>
      <c r="D46" s="24"/>
      <c r="E46" s="95"/>
      <c r="F46" s="95"/>
      <c r="G46" s="95"/>
      <c r="H46" s="95"/>
    </row>
    <row r="47" spans="2:3" ht="12.75">
      <c r="B47" s="24"/>
      <c r="C47" s="24"/>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Blad5">
    <tabColor indexed="44"/>
  </sheetPr>
  <dimension ref="B1:N65488"/>
  <sheetViews>
    <sheetView showGridLines="0" workbookViewId="0" topLeftCell="A1">
      <pane xSplit="4" ySplit="2" topLeftCell="E54" activePane="bottomRight" state="frozen"/>
      <selection pane="topLeft" activeCell="G36" sqref="G36"/>
      <selection pane="topRight" activeCell="G36" sqref="G36"/>
      <selection pane="bottomLeft" activeCell="G36" sqref="G36"/>
      <selection pane="bottomRight" activeCell="N8" sqref="N8"/>
    </sheetView>
  </sheetViews>
  <sheetFormatPr defaultColWidth="9.140625" defaultRowHeight="12.75"/>
  <cols>
    <col min="1" max="1" width="1.7109375" style="16" customWidth="1"/>
    <col min="2" max="2" width="64.140625" style="16" customWidth="1"/>
    <col min="3" max="3" width="10.8515625" style="16" customWidth="1"/>
    <col min="4" max="5" width="11.140625" style="16" customWidth="1"/>
    <col min="6" max="7" width="10.57421875" style="16" bestFit="1" customWidth="1"/>
    <col min="8" max="8" width="12.28125" style="16" customWidth="1"/>
    <col min="9" max="9" width="11.57421875" style="16" bestFit="1" customWidth="1"/>
    <col min="10" max="10" width="11.00390625" style="16" customWidth="1"/>
    <col min="11" max="11" width="11.57421875" style="16" bestFit="1" customWidth="1"/>
    <col min="12" max="12" width="10.57421875" style="16" bestFit="1" customWidth="1"/>
    <col min="13" max="13" width="10.57421875" style="16" customWidth="1"/>
    <col min="14" max="16384" width="9.140625" style="16" customWidth="1"/>
  </cols>
  <sheetData>
    <row r="1" ht="12.75">
      <c r="F1" s="589"/>
    </row>
    <row r="2" spans="2:13" s="41" customFormat="1" ht="66.75">
      <c r="B2" s="70" t="s">
        <v>162</v>
      </c>
      <c r="C2" s="70"/>
      <c r="D2" s="70"/>
      <c r="E2" s="4" t="s">
        <v>139</v>
      </c>
      <c r="F2" s="4" t="s">
        <v>58</v>
      </c>
      <c r="G2" s="4" t="s">
        <v>388</v>
      </c>
      <c r="H2" s="4" t="s">
        <v>141</v>
      </c>
      <c r="I2" s="4" t="s">
        <v>142</v>
      </c>
      <c r="J2" s="4" t="s">
        <v>143</v>
      </c>
      <c r="K2" s="4" t="s">
        <v>140</v>
      </c>
      <c r="L2" s="4" t="s">
        <v>59</v>
      </c>
      <c r="M2" s="4" t="s">
        <v>145</v>
      </c>
    </row>
    <row r="3" ht="12.75"/>
    <row r="4" spans="2:14" s="73" customFormat="1" ht="12.75">
      <c r="B4" s="71"/>
      <c r="C4" s="71"/>
      <c r="D4" s="71"/>
      <c r="E4" s="72"/>
      <c r="F4" s="72"/>
      <c r="G4" s="72"/>
      <c r="H4" s="72"/>
      <c r="I4" s="72"/>
      <c r="J4" s="72"/>
      <c r="K4" s="72"/>
      <c r="L4" s="72"/>
      <c r="M4" s="72"/>
      <c r="N4" s="13"/>
    </row>
    <row r="5" spans="5:14" s="73" customFormat="1" ht="12.75">
      <c r="E5" s="13"/>
      <c r="F5" s="13"/>
      <c r="G5" s="13"/>
      <c r="H5" s="13"/>
      <c r="I5" s="13"/>
      <c r="J5" s="13"/>
      <c r="K5" s="13"/>
      <c r="L5" s="13"/>
      <c r="M5" s="13"/>
      <c r="N5" s="13"/>
    </row>
    <row r="6" spans="2:4" s="42" customFormat="1" ht="12.75">
      <c r="B6" s="78" t="s">
        <v>108</v>
      </c>
      <c r="C6" s="78"/>
      <c r="D6" s="78"/>
    </row>
    <row r="7" spans="2:14" s="73" customFormat="1" ht="12.75">
      <c r="B7" s="71"/>
      <c r="C7" s="71"/>
      <c r="D7" s="71"/>
      <c r="E7" s="13"/>
      <c r="F7" s="13"/>
      <c r="G7" s="13"/>
      <c r="H7" s="13"/>
      <c r="I7" s="13"/>
      <c r="J7" s="13"/>
      <c r="K7" s="13"/>
      <c r="L7" s="13"/>
      <c r="M7" s="13"/>
      <c r="N7" s="13"/>
    </row>
    <row r="8" spans="2:14" s="73" customFormat="1" ht="12.75">
      <c r="B8" s="71" t="s">
        <v>176</v>
      </c>
      <c r="C8" s="71"/>
      <c r="D8" s="71"/>
      <c r="E8" s="13"/>
      <c r="F8" s="13"/>
      <c r="G8" s="13"/>
      <c r="H8" s="13"/>
      <c r="I8" s="13"/>
      <c r="J8" s="13"/>
      <c r="K8" s="13"/>
      <c r="L8" s="13"/>
      <c r="M8" s="13"/>
      <c r="N8" s="13"/>
    </row>
    <row r="9" spans="2:14" s="73" customFormat="1" ht="12.75">
      <c r="B9" s="73" t="s">
        <v>163</v>
      </c>
      <c r="C9" s="73" t="s">
        <v>85</v>
      </c>
      <c r="E9" s="23">
        <v>3085</v>
      </c>
      <c r="F9" s="23">
        <v>4967.8254</v>
      </c>
      <c r="G9" s="23">
        <v>6895.10648</v>
      </c>
      <c r="H9" s="23">
        <v>48162</v>
      </c>
      <c r="I9" s="23">
        <v>43166.399</v>
      </c>
      <c r="J9" s="23">
        <v>2018.972</v>
      </c>
      <c r="K9" s="23">
        <v>65280.029</v>
      </c>
      <c r="L9" s="23">
        <v>8483.20618</v>
      </c>
      <c r="M9" s="12">
        <f aca="true" t="shared" si="0" ref="M9:M21">SUM(E9:L9)</f>
        <v>182058.53806</v>
      </c>
      <c r="N9" s="13"/>
    </row>
    <row r="10" spans="2:14" s="73" customFormat="1" ht="12.75">
      <c r="B10" s="73" t="s">
        <v>164</v>
      </c>
      <c r="C10" s="73" t="s">
        <v>85</v>
      </c>
      <c r="E10" s="657">
        <f>'Aanpassing gegevens'!I48</f>
        <v>959.831</v>
      </c>
      <c r="F10" s="657">
        <f>'Aanpassing gegevens'!I59</f>
        <v>5198.7077</v>
      </c>
      <c r="G10" s="23">
        <v>4575.36135</v>
      </c>
      <c r="H10" s="23">
        <v>126599</v>
      </c>
      <c r="I10" s="657">
        <f>'Aanpassing gegevens'!I78</f>
        <v>95856.209</v>
      </c>
      <c r="J10" s="23">
        <v>549.841</v>
      </c>
      <c r="K10" s="657">
        <f>'Aanpassing gegevens'!I89</f>
        <v>63182.7048</v>
      </c>
      <c r="L10" s="23">
        <v>3150.61282</v>
      </c>
      <c r="M10" s="12">
        <f t="shared" si="0"/>
        <v>300072.26767</v>
      </c>
      <c r="N10" s="13"/>
    </row>
    <row r="11" spans="2:14" s="73" customFormat="1" ht="12.75">
      <c r="B11" s="73" t="s">
        <v>165</v>
      </c>
      <c r="C11" s="73" t="s">
        <v>85</v>
      </c>
      <c r="E11" s="23">
        <v>0</v>
      </c>
      <c r="F11" s="23">
        <v>12.039</v>
      </c>
      <c r="G11" s="23">
        <v>0</v>
      </c>
      <c r="H11" s="23">
        <v>0</v>
      </c>
      <c r="I11" s="23">
        <v>0</v>
      </c>
      <c r="J11" s="23">
        <v>0</v>
      </c>
      <c r="K11" s="23">
        <v>302.37</v>
      </c>
      <c r="L11" s="23">
        <v>432</v>
      </c>
      <c r="M11" s="12">
        <f t="shared" si="0"/>
        <v>746.409</v>
      </c>
      <c r="N11" s="13"/>
    </row>
    <row r="12" spans="2:14" s="73" customFormat="1" ht="12.75">
      <c r="B12" s="74" t="s">
        <v>166</v>
      </c>
      <c r="C12" s="73" t="s">
        <v>85</v>
      </c>
      <c r="D12" s="74"/>
      <c r="E12" s="12">
        <f>SUM(E9:E11)</f>
        <v>4044.831</v>
      </c>
      <c r="F12" s="12">
        <f aca="true" t="shared" si="1" ref="F12:L12">SUM(F9:F11)</f>
        <v>10178.572100000001</v>
      </c>
      <c r="G12" s="12">
        <f t="shared" si="1"/>
        <v>11470.467830000001</v>
      </c>
      <c r="H12" s="12">
        <f t="shared" si="1"/>
        <v>174761</v>
      </c>
      <c r="I12" s="12">
        <f t="shared" si="1"/>
        <v>139022.608</v>
      </c>
      <c r="J12" s="12">
        <f t="shared" si="1"/>
        <v>2568.813</v>
      </c>
      <c r="K12" s="12">
        <f t="shared" si="1"/>
        <v>128765.1038</v>
      </c>
      <c r="L12" s="12">
        <f t="shared" si="1"/>
        <v>12065.819</v>
      </c>
      <c r="M12" s="12">
        <f t="shared" si="0"/>
        <v>482877.21473</v>
      </c>
      <c r="N12" s="13"/>
    </row>
    <row r="13" spans="2:14" s="73" customFormat="1" ht="12.75">
      <c r="B13" s="73" t="s">
        <v>167</v>
      </c>
      <c r="C13" s="73" t="s">
        <v>85</v>
      </c>
      <c r="E13" s="23">
        <v>54</v>
      </c>
      <c r="F13" s="23">
        <v>1799.0607321212121</v>
      </c>
      <c r="G13" s="23">
        <v>2206.64005</v>
      </c>
      <c r="H13" s="23">
        <v>0</v>
      </c>
      <c r="I13" s="23">
        <v>8510.189321464273</v>
      </c>
      <c r="J13" s="657">
        <f>'Aanpassing gegevens'!I132</f>
        <v>1524.982323</v>
      </c>
      <c r="K13" s="23">
        <v>70086.91198901187</v>
      </c>
      <c r="L13" s="23">
        <v>0</v>
      </c>
      <c r="M13" s="12">
        <f t="shared" si="0"/>
        <v>84181.78441559736</v>
      </c>
      <c r="N13" s="13"/>
    </row>
    <row r="14" spans="2:14" s="73" customFormat="1" ht="12.75">
      <c r="B14" s="73" t="s">
        <v>168</v>
      </c>
      <c r="C14" s="73" t="s">
        <v>85</v>
      </c>
      <c r="E14" s="23">
        <v>3475</v>
      </c>
      <c r="F14" s="23">
        <v>12549.985333715918</v>
      </c>
      <c r="G14" s="23">
        <v>396.12009</v>
      </c>
      <c r="H14" s="23">
        <v>0</v>
      </c>
      <c r="I14" s="23">
        <v>227554.29724857718</v>
      </c>
      <c r="J14" s="657">
        <f>'Aanpassing gegevens'!I133</f>
        <v>549.17202</v>
      </c>
      <c r="K14" s="23">
        <v>46356.27583233763</v>
      </c>
      <c r="L14" s="23">
        <v>0</v>
      </c>
      <c r="M14" s="12">
        <f t="shared" si="0"/>
        <v>290880.85052463075</v>
      </c>
      <c r="N14" s="13"/>
    </row>
    <row r="15" spans="2:14" s="73" customFormat="1" ht="12.75">
      <c r="B15" s="73" t="s">
        <v>169</v>
      </c>
      <c r="C15" s="73" t="s">
        <v>85</v>
      </c>
      <c r="E15" s="23">
        <v>0</v>
      </c>
      <c r="F15" s="23">
        <v>0</v>
      </c>
      <c r="G15" s="23">
        <v>0</v>
      </c>
      <c r="H15" s="23">
        <v>0</v>
      </c>
      <c r="I15" s="23">
        <v>0</v>
      </c>
      <c r="J15" s="23">
        <v>0</v>
      </c>
      <c r="K15" s="23">
        <v>0</v>
      </c>
      <c r="L15" s="23">
        <v>0</v>
      </c>
      <c r="M15" s="12">
        <f t="shared" si="0"/>
        <v>0</v>
      </c>
      <c r="N15" s="13"/>
    </row>
    <row r="16" spans="2:14" s="73" customFormat="1" ht="12.75">
      <c r="B16" s="73" t="s">
        <v>170</v>
      </c>
      <c r="C16" s="73" t="s">
        <v>85</v>
      </c>
      <c r="E16" s="23">
        <v>0</v>
      </c>
      <c r="F16" s="23">
        <v>0</v>
      </c>
      <c r="G16" s="23">
        <v>0</v>
      </c>
      <c r="H16" s="23">
        <v>0</v>
      </c>
      <c r="I16" s="23">
        <v>0</v>
      </c>
      <c r="J16" s="23">
        <v>0</v>
      </c>
      <c r="K16" s="23">
        <v>0</v>
      </c>
      <c r="L16" s="23">
        <v>0</v>
      </c>
      <c r="M16" s="12">
        <f t="shared" si="0"/>
        <v>0</v>
      </c>
      <c r="N16" s="13"/>
    </row>
    <row r="17" spans="2:14" s="73" customFormat="1" ht="12.75">
      <c r="B17" s="73" t="s">
        <v>255</v>
      </c>
      <c r="C17" s="73" t="s">
        <v>85</v>
      </c>
      <c r="E17" s="23">
        <v>1</v>
      </c>
      <c r="F17" s="23">
        <v>0</v>
      </c>
      <c r="G17" s="23">
        <v>0</v>
      </c>
      <c r="H17" s="23">
        <v>1772.8</v>
      </c>
      <c r="I17" s="23">
        <v>0</v>
      </c>
      <c r="J17" s="23">
        <v>0</v>
      </c>
      <c r="K17" s="23">
        <v>20.167</v>
      </c>
      <c r="L17" s="23">
        <v>0</v>
      </c>
      <c r="M17" s="12">
        <f>SUM(E17:L17)</f>
        <v>1793.9669999999999</v>
      </c>
      <c r="N17" s="13"/>
    </row>
    <row r="18" spans="2:14" s="73" customFormat="1" ht="12.75">
      <c r="B18" s="73" t="s">
        <v>171</v>
      </c>
      <c r="C18" s="73" t="s">
        <v>85</v>
      </c>
      <c r="E18" s="23">
        <v>0</v>
      </c>
      <c r="F18" s="23">
        <v>460.239</v>
      </c>
      <c r="G18" s="23">
        <v>0</v>
      </c>
      <c r="H18" s="23">
        <v>0</v>
      </c>
      <c r="I18" s="23">
        <v>12580.818</v>
      </c>
      <c r="J18" s="23">
        <v>0</v>
      </c>
      <c r="K18" s="23">
        <v>14239.941</v>
      </c>
      <c r="L18" s="23">
        <v>0</v>
      </c>
      <c r="M18" s="12">
        <f t="shared" si="0"/>
        <v>27280.998</v>
      </c>
      <c r="N18" s="13"/>
    </row>
    <row r="19" spans="2:14" s="73" customFormat="1" ht="12.75">
      <c r="B19" s="73" t="s">
        <v>172</v>
      </c>
      <c r="C19" s="73" t="s">
        <v>85</v>
      </c>
      <c r="E19" s="23">
        <v>101</v>
      </c>
      <c r="F19" s="23">
        <v>543.4415843583993</v>
      </c>
      <c r="G19" s="23">
        <v>2059.3531905131745</v>
      </c>
      <c r="H19" s="23">
        <v>265024</v>
      </c>
      <c r="I19" s="23">
        <v>6947.50885</v>
      </c>
      <c r="J19" s="657">
        <f>'Aanpassing gegevens'!I134</f>
        <v>518.865707</v>
      </c>
      <c r="K19" s="23">
        <v>46027.122230809786</v>
      </c>
      <c r="L19" s="23">
        <v>7212.371731424357</v>
      </c>
      <c r="M19" s="12">
        <f t="shared" si="0"/>
        <v>328433.6632941057</v>
      </c>
      <c r="N19" s="13"/>
    </row>
    <row r="20" spans="2:14" s="73" customFormat="1" ht="12.75">
      <c r="B20" s="73" t="s">
        <v>31</v>
      </c>
      <c r="C20" s="73" t="s">
        <v>85</v>
      </c>
      <c r="E20" s="23">
        <v>0</v>
      </c>
      <c r="F20" s="23">
        <v>0</v>
      </c>
      <c r="G20" s="23">
        <v>0</v>
      </c>
      <c r="H20" s="23">
        <v>0</v>
      </c>
      <c r="I20" s="23">
        <v>0</v>
      </c>
      <c r="J20" s="23">
        <v>256.493</v>
      </c>
      <c r="K20" s="23">
        <v>0</v>
      </c>
      <c r="L20" s="23">
        <v>0</v>
      </c>
      <c r="M20" s="12">
        <f>SUM(E20:L20)</f>
        <v>256.493</v>
      </c>
      <c r="N20" s="13"/>
    </row>
    <row r="21" spans="2:14" s="73" customFormat="1" ht="12.75">
      <c r="B21" s="74" t="s">
        <v>173</v>
      </c>
      <c r="C21" s="73" t="s">
        <v>85</v>
      </c>
      <c r="D21" s="74"/>
      <c r="E21" s="12">
        <f>SUM(E13:E20)</f>
        <v>3631</v>
      </c>
      <c r="F21" s="12">
        <f aca="true" t="shared" si="2" ref="F21:L21">SUM(F13:F20)</f>
        <v>15352.72665019553</v>
      </c>
      <c r="G21" s="12">
        <f t="shared" si="2"/>
        <v>4662.113330513174</v>
      </c>
      <c r="H21" s="12">
        <f t="shared" si="2"/>
        <v>266796.8</v>
      </c>
      <c r="I21" s="12">
        <f t="shared" si="2"/>
        <v>255592.81342004146</v>
      </c>
      <c r="J21" s="12">
        <f t="shared" si="2"/>
        <v>2849.51305</v>
      </c>
      <c r="K21" s="12">
        <f t="shared" si="2"/>
        <v>176730.4180521593</v>
      </c>
      <c r="L21" s="12">
        <f t="shared" si="2"/>
        <v>7212.371731424357</v>
      </c>
      <c r="M21" s="12">
        <f t="shared" si="0"/>
        <v>732827.7562343337</v>
      </c>
      <c r="N21" s="13"/>
    </row>
    <row r="22" spans="5:14" s="73" customFormat="1" ht="12.75">
      <c r="E22" s="13"/>
      <c r="F22" s="13"/>
      <c r="G22" s="13"/>
      <c r="H22" s="13"/>
      <c r="I22" s="13"/>
      <c r="J22" s="13"/>
      <c r="K22" s="13"/>
      <c r="L22" s="13"/>
      <c r="M22" s="13"/>
      <c r="N22" s="13"/>
    </row>
    <row r="23" spans="2:14" s="73" customFormat="1" ht="12.75">
      <c r="B23" s="75" t="s">
        <v>102</v>
      </c>
      <c r="C23" s="73" t="s">
        <v>85</v>
      </c>
      <c r="D23" s="75"/>
      <c r="E23" s="12">
        <f>E21+E12</f>
        <v>7675.831</v>
      </c>
      <c r="F23" s="12">
        <f aca="true" t="shared" si="3" ref="F23:L23">F21+F12</f>
        <v>25531.29875019553</v>
      </c>
      <c r="G23" s="12">
        <f>G21+G12</f>
        <v>16132.581160513175</v>
      </c>
      <c r="H23" s="12">
        <f t="shared" si="3"/>
        <v>441557.8</v>
      </c>
      <c r="I23" s="12">
        <f t="shared" si="3"/>
        <v>394615.4214200415</v>
      </c>
      <c r="J23" s="12">
        <f t="shared" si="3"/>
        <v>5418.32605</v>
      </c>
      <c r="K23" s="12">
        <f t="shared" si="3"/>
        <v>305495.5218521593</v>
      </c>
      <c r="L23" s="12">
        <f t="shared" si="3"/>
        <v>19278.190731424358</v>
      </c>
      <c r="M23" s="12">
        <f>SUM(E23:L23)</f>
        <v>1215704.970964334</v>
      </c>
      <c r="N23" s="13"/>
    </row>
    <row r="24" spans="5:14" s="73" customFormat="1" ht="12.75">
      <c r="E24" s="13"/>
      <c r="F24" s="13"/>
      <c r="G24" s="13"/>
      <c r="H24" s="13"/>
      <c r="I24" s="13"/>
      <c r="J24" s="13"/>
      <c r="K24" s="13"/>
      <c r="L24" s="13"/>
      <c r="M24" s="13"/>
      <c r="N24" s="13"/>
    </row>
    <row r="25" spans="2:14" s="73" customFormat="1" ht="12.75">
      <c r="B25" s="76" t="s">
        <v>104</v>
      </c>
      <c r="E25" s="13"/>
      <c r="F25" s="13"/>
      <c r="G25" s="13"/>
      <c r="H25" s="13"/>
      <c r="I25" s="13"/>
      <c r="J25" s="13"/>
      <c r="K25" s="13"/>
      <c r="L25" s="13"/>
      <c r="M25" s="13"/>
      <c r="N25" s="13"/>
    </row>
    <row r="26" spans="2:14" s="73" customFormat="1" ht="12.75">
      <c r="B26" s="73" t="s">
        <v>105</v>
      </c>
      <c r="C26" s="73" t="s">
        <v>85</v>
      </c>
      <c r="E26" s="23">
        <v>49900.15577491825</v>
      </c>
      <c r="F26" s="23">
        <v>234726.79203468657</v>
      </c>
      <c r="G26" s="23">
        <v>105249.5029496226</v>
      </c>
      <c r="H26" s="23">
        <v>3319423.150893795</v>
      </c>
      <c r="I26" s="23">
        <v>3507762.077528432</v>
      </c>
      <c r="J26" s="23">
        <v>38737.12428983691</v>
      </c>
      <c r="K26" s="23">
        <v>2444164.0625302065</v>
      </c>
      <c r="L26" s="23">
        <v>175227.61785397286</v>
      </c>
      <c r="M26" s="12">
        <f>SUM(E26:L26)</f>
        <v>9875190.483855471</v>
      </c>
      <c r="N26" s="13"/>
    </row>
    <row r="27" spans="2:14" s="73" customFormat="1" ht="12.75">
      <c r="B27" s="73" t="s">
        <v>106</v>
      </c>
      <c r="C27" s="73" t="s">
        <v>85</v>
      </c>
      <c r="E27" s="23">
        <v>3277.334993770284</v>
      </c>
      <c r="F27" s="23">
        <v>11802.316703959463</v>
      </c>
      <c r="G27" s="23">
        <v>5734.7249805021165</v>
      </c>
      <c r="H27" s="23">
        <v>152393.68250881758</v>
      </c>
      <c r="I27" s="23">
        <v>134915.11498563612</v>
      </c>
      <c r="J27" s="23">
        <v>2834.5684679334277</v>
      </c>
      <c r="K27" s="23">
        <v>103016.22579744135</v>
      </c>
      <c r="L27" s="23">
        <v>5356.175114577418</v>
      </c>
      <c r="M27" s="12">
        <f>SUM(E27:L27)</f>
        <v>419330.1435526378</v>
      </c>
      <c r="N27" s="13"/>
    </row>
    <row r="28" spans="2:14" s="73" customFormat="1" ht="12.75">
      <c r="B28" s="75" t="s">
        <v>103</v>
      </c>
      <c r="C28" s="73" t="s">
        <v>85</v>
      </c>
      <c r="D28" s="75"/>
      <c r="E28" s="12">
        <f aca="true" t="shared" si="4" ref="E28:L28">WACC2011*E26+E27</f>
        <v>6371.144651815215</v>
      </c>
      <c r="F28" s="12">
        <f t="shared" si="4"/>
        <v>26355.377810110032</v>
      </c>
      <c r="G28" s="12">
        <f t="shared" si="4"/>
        <v>12260.194163378717</v>
      </c>
      <c r="H28" s="12">
        <f t="shared" si="4"/>
        <v>358197.91786423285</v>
      </c>
      <c r="I28" s="12">
        <f t="shared" si="4"/>
        <v>352396.3637923989</v>
      </c>
      <c r="J28" s="12">
        <f t="shared" si="4"/>
        <v>5236.270173903316</v>
      </c>
      <c r="K28" s="12">
        <f t="shared" si="4"/>
        <v>254554.39767431415</v>
      </c>
      <c r="L28" s="12">
        <f t="shared" si="4"/>
        <v>16220.287421523735</v>
      </c>
      <c r="M28" s="12">
        <f>SUM(E28:L28)</f>
        <v>1031591.9535516769</v>
      </c>
      <c r="N28" s="13"/>
    </row>
    <row r="29" spans="5:14" s="73" customFormat="1" ht="12.75">
      <c r="E29" s="13"/>
      <c r="F29" s="13"/>
      <c r="G29" s="13"/>
      <c r="H29" s="13"/>
      <c r="I29" s="13"/>
      <c r="J29" s="13"/>
      <c r="K29" s="13"/>
      <c r="L29" s="13"/>
      <c r="M29" s="13"/>
      <c r="N29" s="13"/>
    </row>
    <row r="30" spans="2:14" s="73" customFormat="1" ht="12.75">
      <c r="B30" s="252" t="s">
        <v>107</v>
      </c>
      <c r="C30" s="73" t="s">
        <v>85</v>
      </c>
      <c r="D30" s="76"/>
      <c r="E30" s="8">
        <f aca="true" t="shared" si="5" ref="E30:L30">E23+E28</f>
        <v>14046.975651815215</v>
      </c>
      <c r="F30" s="8">
        <f t="shared" si="5"/>
        <v>51886.67656030556</v>
      </c>
      <c r="G30" s="8">
        <f t="shared" si="5"/>
        <v>28392.775323891892</v>
      </c>
      <c r="H30" s="8">
        <f t="shared" si="5"/>
        <v>799755.7178642328</v>
      </c>
      <c r="I30" s="8">
        <f t="shared" si="5"/>
        <v>747011.7852124404</v>
      </c>
      <c r="J30" s="8">
        <f t="shared" si="5"/>
        <v>10654.596223903316</v>
      </c>
      <c r="K30" s="8">
        <f t="shared" si="5"/>
        <v>560049.9195264734</v>
      </c>
      <c r="L30" s="8">
        <f t="shared" si="5"/>
        <v>35498.4781529481</v>
      </c>
      <c r="M30" s="8">
        <f>SUM(E30:L30)</f>
        <v>2247296.9245160106</v>
      </c>
      <c r="N30" s="13"/>
    </row>
    <row r="31" spans="2:14" s="73" customFormat="1" ht="12.75">
      <c r="B31" s="71"/>
      <c r="C31" s="71"/>
      <c r="D31" s="71"/>
      <c r="E31" s="13"/>
      <c r="F31" s="13"/>
      <c r="G31" s="13"/>
      <c r="H31" s="13"/>
      <c r="I31" s="13"/>
      <c r="J31" s="13"/>
      <c r="K31" s="13"/>
      <c r="L31" s="13"/>
      <c r="M31" s="13"/>
      <c r="N31" s="13"/>
    </row>
    <row r="32" spans="2:14" s="73" customFormat="1" ht="12.75">
      <c r="B32" s="71"/>
      <c r="C32" s="71"/>
      <c r="D32" s="71"/>
      <c r="E32" s="13"/>
      <c r="F32" s="13"/>
      <c r="G32" s="13"/>
      <c r="H32" s="13"/>
      <c r="I32" s="13"/>
      <c r="J32" s="13"/>
      <c r="K32" s="13"/>
      <c r="L32" s="13"/>
      <c r="M32" s="13"/>
      <c r="N32" s="13"/>
    </row>
    <row r="33" spans="2:4" s="42" customFormat="1" ht="12.75">
      <c r="B33" s="78" t="s">
        <v>111</v>
      </c>
      <c r="C33" s="78"/>
      <c r="D33" s="78"/>
    </row>
    <row r="34" spans="2:14" s="73" customFormat="1" ht="12.75">
      <c r="B34" s="71"/>
      <c r="C34" s="71"/>
      <c r="D34" s="71"/>
      <c r="E34" s="13"/>
      <c r="F34" s="13"/>
      <c r="G34" s="13"/>
      <c r="H34" s="13"/>
      <c r="I34" s="13"/>
      <c r="J34" s="13"/>
      <c r="K34" s="13"/>
      <c r="L34" s="13"/>
      <c r="M34" s="13"/>
      <c r="N34" s="13"/>
    </row>
    <row r="35" spans="2:14" s="73" customFormat="1" ht="12.75">
      <c r="B35" s="71" t="s">
        <v>176</v>
      </c>
      <c r="C35" s="71"/>
      <c r="D35" s="71"/>
      <c r="E35" s="13"/>
      <c r="F35" s="13"/>
      <c r="G35" s="13"/>
      <c r="H35" s="13"/>
      <c r="I35" s="13"/>
      <c r="J35" s="13"/>
      <c r="K35" s="13"/>
      <c r="L35" s="13"/>
      <c r="M35" s="13"/>
      <c r="N35" s="13"/>
    </row>
    <row r="36" spans="2:14" s="73" customFormat="1" ht="12.75">
      <c r="B36" s="73" t="s">
        <v>163</v>
      </c>
      <c r="C36" s="73" t="s">
        <v>85</v>
      </c>
      <c r="E36" s="23">
        <v>3193</v>
      </c>
      <c r="F36" s="23">
        <v>4974.5052000000005</v>
      </c>
      <c r="G36" s="23">
        <v>7144.57139</v>
      </c>
      <c r="H36" s="23">
        <v>60743</v>
      </c>
      <c r="I36" s="23">
        <v>54864.384999999995</v>
      </c>
      <c r="J36" s="23">
        <v>2011.92351</v>
      </c>
      <c r="K36" s="23">
        <v>64403.313</v>
      </c>
      <c r="L36" s="23">
        <v>6584</v>
      </c>
      <c r="M36" s="12">
        <f aca="true" t="shared" si="6" ref="M36:M48">SUM(E36:L36)</f>
        <v>203918.69809999998</v>
      </c>
      <c r="N36" s="13"/>
    </row>
    <row r="37" spans="2:14" s="73" customFormat="1" ht="12.75">
      <c r="B37" s="73" t="s">
        <v>164</v>
      </c>
      <c r="C37" s="73" t="s">
        <v>85</v>
      </c>
      <c r="E37" s="657">
        <f>'Aanpassing gegevens'!I49</f>
        <v>1463.585</v>
      </c>
      <c r="F37" s="657">
        <f>'Aanpassing gegevens'!I60</f>
        <v>5377.45138</v>
      </c>
      <c r="G37" s="23">
        <v>4189.14975</v>
      </c>
      <c r="H37" s="23">
        <v>134400</v>
      </c>
      <c r="I37" s="657">
        <f>'Aanpassing gegevens'!I79</f>
        <v>115010.276</v>
      </c>
      <c r="J37" s="23">
        <v>890.1582908</v>
      </c>
      <c r="K37" s="657">
        <f>'Aanpassing gegevens'!I90</f>
        <v>71414.791</v>
      </c>
      <c r="L37" s="23">
        <v>5032</v>
      </c>
      <c r="M37" s="12">
        <f t="shared" si="6"/>
        <v>337777.4114208</v>
      </c>
      <c r="N37" s="13"/>
    </row>
    <row r="38" spans="2:14" s="73" customFormat="1" ht="12.75">
      <c r="B38" s="73" t="s">
        <v>165</v>
      </c>
      <c r="C38" s="73" t="s">
        <v>85</v>
      </c>
      <c r="E38" s="23">
        <v>0</v>
      </c>
      <c r="F38" s="23">
        <v>13</v>
      </c>
      <c r="G38" s="23">
        <v>0</v>
      </c>
      <c r="H38" s="23">
        <v>0</v>
      </c>
      <c r="I38" s="23">
        <v>0</v>
      </c>
      <c r="J38" s="23">
        <v>0</v>
      </c>
      <c r="K38" s="23">
        <v>0</v>
      </c>
      <c r="L38" s="23">
        <v>264</v>
      </c>
      <c r="M38" s="12">
        <f t="shared" si="6"/>
        <v>277</v>
      </c>
      <c r="N38" s="13"/>
    </row>
    <row r="39" spans="2:14" s="73" customFormat="1" ht="12.75">
      <c r="B39" s="74" t="s">
        <v>166</v>
      </c>
      <c r="C39" s="73" t="s">
        <v>85</v>
      </c>
      <c r="D39" s="74"/>
      <c r="E39" s="12">
        <f aca="true" t="shared" si="7" ref="E39:L39">SUM(E36:E38)</f>
        <v>4656.585</v>
      </c>
      <c r="F39" s="12">
        <f t="shared" si="7"/>
        <v>10364.956580000002</v>
      </c>
      <c r="G39" s="12">
        <f t="shared" si="7"/>
        <v>11333.72114</v>
      </c>
      <c r="H39" s="12">
        <f t="shared" si="7"/>
        <v>195143</v>
      </c>
      <c r="I39" s="12">
        <f t="shared" si="7"/>
        <v>169874.661</v>
      </c>
      <c r="J39" s="12">
        <f t="shared" si="7"/>
        <v>2902.0818008</v>
      </c>
      <c r="K39" s="12">
        <f t="shared" si="7"/>
        <v>135818.104</v>
      </c>
      <c r="L39" s="12">
        <f t="shared" si="7"/>
        <v>11880</v>
      </c>
      <c r="M39" s="12">
        <f t="shared" si="6"/>
        <v>541973.1095208</v>
      </c>
      <c r="N39" s="13"/>
    </row>
    <row r="40" spans="2:14" s="73" customFormat="1" ht="12.75">
      <c r="B40" s="73" t="s">
        <v>167</v>
      </c>
      <c r="C40" s="73" t="s">
        <v>85</v>
      </c>
      <c r="E40" s="23">
        <v>41.142462532886086</v>
      </c>
      <c r="F40" s="23">
        <v>1906.1221381818184</v>
      </c>
      <c r="G40" s="23">
        <v>2192.6542999999997</v>
      </c>
      <c r="H40" s="23">
        <v>0</v>
      </c>
      <c r="I40" s="23">
        <v>11891.721824754924</v>
      </c>
      <c r="J40" s="23">
        <v>1362.57561409531</v>
      </c>
      <c r="K40" s="23">
        <v>82990.35799769737</v>
      </c>
      <c r="L40" s="23">
        <v>0</v>
      </c>
      <c r="M40" s="12">
        <f t="shared" si="6"/>
        <v>100384.57433726231</v>
      </c>
      <c r="N40" s="13"/>
    </row>
    <row r="41" spans="2:14" s="73" customFormat="1" ht="12.75">
      <c r="B41" s="73" t="s">
        <v>168</v>
      </c>
      <c r="C41" s="73" t="s">
        <v>85</v>
      </c>
      <c r="E41" s="23">
        <v>3303.857537467114</v>
      </c>
      <c r="F41" s="23">
        <v>21472.298252377615</v>
      </c>
      <c r="G41" s="23">
        <v>724.83799</v>
      </c>
      <c r="H41" s="23">
        <v>0</v>
      </c>
      <c r="I41" s="23">
        <v>212107.3871719483</v>
      </c>
      <c r="J41" s="657">
        <f>'Aanpassing gegevens'!I135</f>
        <v>819.110361052641</v>
      </c>
      <c r="K41" s="23">
        <v>44486.93021032521</v>
      </c>
      <c r="L41" s="23">
        <v>0</v>
      </c>
      <c r="M41" s="12">
        <f t="shared" si="6"/>
        <v>282914.4215231709</v>
      </c>
      <c r="N41" s="13"/>
    </row>
    <row r="42" spans="2:14" s="73" customFormat="1" ht="12.75">
      <c r="B42" s="73" t="s">
        <v>169</v>
      </c>
      <c r="C42" s="73" t="s">
        <v>85</v>
      </c>
      <c r="E42" s="23">
        <v>0</v>
      </c>
      <c r="F42" s="23">
        <v>0</v>
      </c>
      <c r="G42" s="23">
        <v>0</v>
      </c>
      <c r="H42" s="23">
        <v>0</v>
      </c>
      <c r="I42" s="23">
        <v>0</v>
      </c>
      <c r="J42" s="23">
        <v>0</v>
      </c>
      <c r="K42" s="23">
        <v>0</v>
      </c>
      <c r="L42" s="23">
        <v>0</v>
      </c>
      <c r="M42" s="12">
        <f t="shared" si="6"/>
        <v>0</v>
      </c>
      <c r="N42" s="13"/>
    </row>
    <row r="43" spans="2:14" s="73" customFormat="1" ht="12.75">
      <c r="B43" s="73" t="s">
        <v>170</v>
      </c>
      <c r="C43" s="73" t="s">
        <v>85</v>
      </c>
      <c r="E43" s="23">
        <v>0</v>
      </c>
      <c r="F43" s="23">
        <v>0</v>
      </c>
      <c r="G43" s="23">
        <v>0</v>
      </c>
      <c r="H43" s="23">
        <v>0</v>
      </c>
      <c r="I43" s="23">
        <v>0</v>
      </c>
      <c r="J43" s="23">
        <v>0</v>
      </c>
      <c r="K43" s="23">
        <v>0</v>
      </c>
      <c r="L43" s="23">
        <v>0</v>
      </c>
      <c r="M43" s="12">
        <f t="shared" si="6"/>
        <v>0</v>
      </c>
      <c r="N43" s="13"/>
    </row>
    <row r="44" spans="2:14" s="73" customFormat="1" ht="12.75">
      <c r="B44" s="73" t="s">
        <v>255</v>
      </c>
      <c r="C44" s="73" t="s">
        <v>85</v>
      </c>
      <c r="E44" s="23">
        <v>0</v>
      </c>
      <c r="F44" s="23">
        <v>0</v>
      </c>
      <c r="G44" s="23">
        <v>0</v>
      </c>
      <c r="H44" s="23">
        <v>0</v>
      </c>
      <c r="I44" s="23">
        <v>0</v>
      </c>
      <c r="J44" s="23">
        <v>0</v>
      </c>
      <c r="K44" s="23">
        <v>0</v>
      </c>
      <c r="L44" s="23">
        <v>0</v>
      </c>
      <c r="M44" s="12">
        <f t="shared" si="6"/>
        <v>0</v>
      </c>
      <c r="N44" s="13"/>
    </row>
    <row r="45" spans="2:14" s="73" customFormat="1" ht="12.75">
      <c r="B45" s="73" t="s">
        <v>171</v>
      </c>
      <c r="C45" s="73" t="s">
        <v>85</v>
      </c>
      <c r="E45" s="23">
        <v>0</v>
      </c>
      <c r="F45" s="23">
        <v>451.936</v>
      </c>
      <c r="G45" s="23">
        <v>0</v>
      </c>
      <c r="H45" s="23">
        <v>1673</v>
      </c>
      <c r="I45" s="23">
        <v>14310.34846000618</v>
      </c>
      <c r="J45" s="23">
        <v>0.13175</v>
      </c>
      <c r="K45" s="23">
        <v>14323.928</v>
      </c>
      <c r="L45" s="23">
        <v>25</v>
      </c>
      <c r="M45" s="12">
        <f t="shared" si="6"/>
        <v>30784.34421000618</v>
      </c>
      <c r="N45" s="13"/>
    </row>
    <row r="46" spans="2:14" s="73" customFormat="1" ht="12.75">
      <c r="B46" s="73" t="s">
        <v>172</v>
      </c>
      <c r="C46" s="73" t="s">
        <v>85</v>
      </c>
      <c r="E46" s="23">
        <v>100</v>
      </c>
      <c r="F46" s="23">
        <v>567.8323063075749</v>
      </c>
      <c r="G46" s="23">
        <v>3535.3487671652633</v>
      </c>
      <c r="H46" s="23">
        <v>249085</v>
      </c>
      <c r="I46" s="23">
        <v>6109.4166525</v>
      </c>
      <c r="J46" s="23">
        <v>176.98260999999997</v>
      </c>
      <c r="K46" s="23">
        <v>51722.13622072096</v>
      </c>
      <c r="L46" s="23">
        <v>7492</v>
      </c>
      <c r="M46" s="12">
        <f t="shared" si="6"/>
        <v>318788.7165566938</v>
      </c>
      <c r="N46" s="13"/>
    </row>
    <row r="47" spans="2:14" s="73" customFormat="1" ht="12.75">
      <c r="B47" s="73" t="s">
        <v>31</v>
      </c>
      <c r="C47" s="73" t="s">
        <v>85</v>
      </c>
      <c r="E47" s="23">
        <v>0</v>
      </c>
      <c r="F47" s="23">
        <v>0</v>
      </c>
      <c r="G47" s="23">
        <v>0</v>
      </c>
      <c r="H47" s="23">
        <v>0</v>
      </c>
      <c r="I47" s="23">
        <v>0</v>
      </c>
      <c r="J47" s="23">
        <v>810.436</v>
      </c>
      <c r="K47" s="23">
        <v>0</v>
      </c>
      <c r="L47" s="23">
        <v>0</v>
      </c>
      <c r="M47" s="12">
        <f t="shared" si="6"/>
        <v>810.436</v>
      </c>
      <c r="N47" s="13"/>
    </row>
    <row r="48" spans="2:14" s="73" customFormat="1" ht="12.75">
      <c r="B48" s="74" t="s">
        <v>173</v>
      </c>
      <c r="C48" s="73" t="s">
        <v>85</v>
      </c>
      <c r="D48" s="74"/>
      <c r="E48" s="12">
        <f>SUM(E40:E47)</f>
        <v>3445</v>
      </c>
      <c r="F48" s="12">
        <f aca="true" t="shared" si="8" ref="F48:L48">SUM(F40:F47)</f>
        <v>24398.188696867008</v>
      </c>
      <c r="G48" s="12">
        <f t="shared" si="8"/>
        <v>6452.841057165263</v>
      </c>
      <c r="H48" s="12">
        <f t="shared" si="8"/>
        <v>250758</v>
      </c>
      <c r="I48" s="12">
        <f t="shared" si="8"/>
        <v>244418.8741092094</v>
      </c>
      <c r="J48" s="12">
        <f t="shared" si="8"/>
        <v>3169.236335147951</v>
      </c>
      <c r="K48" s="12">
        <f t="shared" si="8"/>
        <v>193523.35242874356</v>
      </c>
      <c r="L48" s="12">
        <f t="shared" si="8"/>
        <v>7517</v>
      </c>
      <c r="M48" s="12">
        <f t="shared" si="6"/>
        <v>733682.4926271331</v>
      </c>
      <c r="N48" s="13"/>
    </row>
    <row r="49" spans="5:14" s="73" customFormat="1" ht="12.75">
      <c r="E49" s="13"/>
      <c r="F49" s="13"/>
      <c r="G49" s="13"/>
      <c r="H49" s="13"/>
      <c r="I49" s="13"/>
      <c r="J49" s="13"/>
      <c r="K49" s="13"/>
      <c r="L49" s="13"/>
      <c r="M49" s="13"/>
      <c r="N49" s="13"/>
    </row>
    <row r="50" spans="2:14" s="73" customFormat="1" ht="12.75">
      <c r="B50" s="75" t="s">
        <v>102</v>
      </c>
      <c r="C50" s="73" t="s">
        <v>85</v>
      </c>
      <c r="D50" s="75"/>
      <c r="E50" s="12">
        <f>E48+E39</f>
        <v>8101.585</v>
      </c>
      <c r="F50" s="12">
        <f aca="true" t="shared" si="9" ref="F50:L50">F48+F39</f>
        <v>34763.14527686701</v>
      </c>
      <c r="G50" s="12">
        <f>G48+G39</f>
        <v>17786.56219716526</v>
      </c>
      <c r="H50" s="12">
        <f t="shared" si="9"/>
        <v>445901</v>
      </c>
      <c r="I50" s="12">
        <f t="shared" si="9"/>
        <v>414293.53510920936</v>
      </c>
      <c r="J50" s="12">
        <f t="shared" si="9"/>
        <v>6071.318135947951</v>
      </c>
      <c r="K50" s="12">
        <f t="shared" si="9"/>
        <v>329341.45642874355</v>
      </c>
      <c r="L50" s="12">
        <f t="shared" si="9"/>
        <v>19397</v>
      </c>
      <c r="M50" s="12">
        <f>SUM(E50:L50)</f>
        <v>1275655.602147933</v>
      </c>
      <c r="N50" s="13"/>
    </row>
    <row r="51" spans="5:14" s="73" customFormat="1" ht="12.75">
      <c r="E51" s="13"/>
      <c r="F51" s="13"/>
      <c r="G51" s="13"/>
      <c r="H51" s="13"/>
      <c r="I51" s="13"/>
      <c r="J51" s="13"/>
      <c r="K51" s="13"/>
      <c r="L51" s="13"/>
      <c r="M51" s="13"/>
      <c r="N51" s="13"/>
    </row>
    <row r="52" spans="2:14" s="73" customFormat="1" ht="12.75">
      <c r="B52" s="76" t="s">
        <v>104</v>
      </c>
      <c r="E52" s="13"/>
      <c r="F52" s="13"/>
      <c r="G52" s="13"/>
      <c r="H52" s="13"/>
      <c r="I52" s="13"/>
      <c r="J52" s="13"/>
      <c r="K52" s="13"/>
      <c r="L52" s="13"/>
      <c r="M52" s="13"/>
      <c r="N52" s="13"/>
    </row>
    <row r="53" spans="2:14" s="73" customFormat="1" ht="12.75">
      <c r="B53" s="73" t="s">
        <v>105</v>
      </c>
      <c r="C53" s="73" t="s">
        <v>85</v>
      </c>
      <c r="E53" s="23">
        <v>49453.96384708404</v>
      </c>
      <c r="F53" s="23">
        <v>245950.83409235725</v>
      </c>
      <c r="G53" s="23">
        <v>104055.86659165245</v>
      </c>
      <c r="H53" s="657">
        <f>'Aanpassing gegevens'!I103</f>
        <v>3339750.0544994627</v>
      </c>
      <c r="I53" s="23">
        <v>3505087.724492047</v>
      </c>
      <c r="J53" s="23">
        <v>37577.21644640429</v>
      </c>
      <c r="K53" s="23">
        <v>2454189.8300108174</v>
      </c>
      <c r="L53" s="23">
        <v>200099.35344995031</v>
      </c>
      <c r="M53" s="12">
        <f>SUM(E53:L53)</f>
        <v>9936164.843429776</v>
      </c>
      <c r="N53" s="13"/>
    </row>
    <row r="54" spans="2:14" s="73" customFormat="1" ht="12.75">
      <c r="B54" s="73" t="s">
        <v>106</v>
      </c>
      <c r="C54" s="73" t="s">
        <v>85</v>
      </c>
      <c r="E54" s="23">
        <v>3349.7941086830683</v>
      </c>
      <c r="F54" s="23">
        <v>12340.147860814892</v>
      </c>
      <c r="G54" s="23">
        <v>5896.749604264845</v>
      </c>
      <c r="H54" s="657">
        <f>'Aanpassing gegevens'!I104</f>
        <v>159644.43940713946</v>
      </c>
      <c r="I54" s="23">
        <v>138973.44570153806</v>
      </c>
      <c r="J54" s="23">
        <v>2927.737024771229</v>
      </c>
      <c r="K54" s="23">
        <v>106291.35289481188</v>
      </c>
      <c r="L54" s="23">
        <v>6147.520053978168</v>
      </c>
      <c r="M54" s="12">
        <f>SUM(E54:L54)</f>
        <v>435571.18665600166</v>
      </c>
      <c r="N54" s="13"/>
    </row>
    <row r="55" spans="2:14" s="73" customFormat="1" ht="12.75">
      <c r="B55" s="75" t="s">
        <v>103</v>
      </c>
      <c r="C55" s="73" t="s">
        <v>85</v>
      </c>
      <c r="D55" s="75"/>
      <c r="E55" s="12">
        <f aca="true" t="shared" si="10" ref="E55:L55">WACC2011*E53+E54</f>
        <v>6415.939867202278</v>
      </c>
      <c r="F55" s="12">
        <f t="shared" si="10"/>
        <v>27589.09957454104</v>
      </c>
      <c r="G55" s="12">
        <f t="shared" si="10"/>
        <v>12348.213332947296</v>
      </c>
      <c r="H55" s="12">
        <f t="shared" si="10"/>
        <v>366708.94278610614</v>
      </c>
      <c r="I55" s="12">
        <f t="shared" si="10"/>
        <v>356288.88462004496</v>
      </c>
      <c r="J55" s="12">
        <f t="shared" si="10"/>
        <v>5257.524444448294</v>
      </c>
      <c r="K55" s="12">
        <f t="shared" si="10"/>
        <v>258451.12235548254</v>
      </c>
      <c r="L55" s="12">
        <f t="shared" si="10"/>
        <v>18553.679967875087</v>
      </c>
      <c r="M55" s="12">
        <f>SUM(E55:L55)</f>
        <v>1051613.4069486477</v>
      </c>
      <c r="N55" s="13"/>
    </row>
    <row r="56" spans="5:14" s="73" customFormat="1" ht="12.75">
      <c r="E56" s="13"/>
      <c r="F56" s="13"/>
      <c r="G56" s="13"/>
      <c r="H56" s="13"/>
      <c r="I56" s="13"/>
      <c r="J56" s="13"/>
      <c r="K56" s="13"/>
      <c r="L56" s="13"/>
      <c r="M56" s="13"/>
      <c r="N56" s="13"/>
    </row>
    <row r="57" spans="2:14" s="73" customFormat="1" ht="12.75">
      <c r="B57" s="252" t="s">
        <v>114</v>
      </c>
      <c r="C57" s="73" t="s">
        <v>85</v>
      </c>
      <c r="D57" s="74"/>
      <c r="E57" s="8">
        <f aca="true" t="shared" si="11" ref="E57:L57">E50+E55</f>
        <v>14517.524867202279</v>
      </c>
      <c r="F57" s="8">
        <f t="shared" si="11"/>
        <v>62352.24485140805</v>
      </c>
      <c r="G57" s="8">
        <f t="shared" si="11"/>
        <v>30134.775530112558</v>
      </c>
      <c r="H57" s="8">
        <f t="shared" si="11"/>
        <v>812609.9427861061</v>
      </c>
      <c r="I57" s="8">
        <f t="shared" si="11"/>
        <v>770582.4197292543</v>
      </c>
      <c r="J57" s="8">
        <f t="shared" si="11"/>
        <v>11328.842580396245</v>
      </c>
      <c r="K57" s="8">
        <f t="shared" si="11"/>
        <v>587792.5787842261</v>
      </c>
      <c r="L57" s="8">
        <f t="shared" si="11"/>
        <v>37950.67996787508</v>
      </c>
      <c r="M57" s="8">
        <f>SUM(E57:L57)</f>
        <v>2327269.0090965806</v>
      </c>
      <c r="N57" s="13"/>
    </row>
    <row r="58" spans="2:14" s="73" customFormat="1" ht="12.75">
      <c r="B58" s="71"/>
      <c r="C58" s="71"/>
      <c r="D58" s="71"/>
      <c r="E58" s="13"/>
      <c r="F58" s="13"/>
      <c r="G58" s="13"/>
      <c r="H58" s="13"/>
      <c r="I58" s="13"/>
      <c r="J58" s="13"/>
      <c r="K58" s="13"/>
      <c r="L58" s="13"/>
      <c r="M58" s="13"/>
      <c r="N58" s="13"/>
    </row>
    <row r="59" spans="2:4" s="42" customFormat="1" ht="12.75">
      <c r="B59" s="78" t="s">
        <v>110</v>
      </c>
      <c r="C59" s="78"/>
      <c r="D59" s="78"/>
    </row>
    <row r="60" spans="2:14" s="73" customFormat="1" ht="12.75">
      <c r="B60" s="71"/>
      <c r="C60" s="71"/>
      <c r="D60" s="71"/>
      <c r="E60" s="13"/>
      <c r="F60" s="13"/>
      <c r="G60" s="13"/>
      <c r="H60" s="13"/>
      <c r="I60" s="13"/>
      <c r="J60" s="13"/>
      <c r="K60" s="13"/>
      <c r="L60" s="13"/>
      <c r="M60" s="13"/>
      <c r="N60" s="13"/>
    </row>
    <row r="61" spans="2:14" s="73" customFormat="1" ht="12.75">
      <c r="B61" s="71" t="s">
        <v>176</v>
      </c>
      <c r="C61" s="71"/>
      <c r="D61" s="71"/>
      <c r="E61" s="13"/>
      <c r="F61" s="13"/>
      <c r="G61" s="13"/>
      <c r="H61" s="13"/>
      <c r="I61" s="13"/>
      <c r="J61" s="13"/>
      <c r="K61" s="13"/>
      <c r="L61" s="13"/>
      <c r="M61" s="13"/>
      <c r="N61" s="13"/>
    </row>
    <row r="62" spans="2:14" s="73" customFormat="1" ht="12.75">
      <c r="B62" s="73" t="s">
        <v>178</v>
      </c>
      <c r="C62" s="73" t="s">
        <v>85</v>
      </c>
      <c r="D62" s="77"/>
      <c r="E62" s="23">
        <v>0</v>
      </c>
      <c r="F62" s="23">
        <v>3396.5827999999997</v>
      </c>
      <c r="G62" s="23">
        <v>0</v>
      </c>
      <c r="H62" s="23">
        <v>96125.5885</v>
      </c>
      <c r="I62" s="23">
        <v>63030.6742</v>
      </c>
      <c r="J62" s="23">
        <v>0</v>
      </c>
      <c r="K62" s="23">
        <v>62812.682080000006</v>
      </c>
      <c r="L62" s="23">
        <v>6115.963</v>
      </c>
      <c r="M62" s="12">
        <f aca="true" t="shared" si="12" ref="M62:M76">SUM(E62:L62)</f>
        <v>231481.49057999998</v>
      </c>
      <c r="N62" s="13"/>
    </row>
    <row r="63" spans="2:14" s="73" customFormat="1" ht="12.75">
      <c r="B63" s="73" t="s">
        <v>179</v>
      </c>
      <c r="C63" s="73" t="s">
        <v>85</v>
      </c>
      <c r="D63" s="77"/>
      <c r="E63" s="23">
        <v>3224</v>
      </c>
      <c r="F63" s="23">
        <v>0</v>
      </c>
      <c r="G63" s="23">
        <v>7078.593960000002</v>
      </c>
      <c r="H63" s="23">
        <v>1659</v>
      </c>
      <c r="I63" s="23">
        <v>787.689</v>
      </c>
      <c r="J63" s="23">
        <v>2030.96</v>
      </c>
      <c r="K63" s="23">
        <v>4679.13767</v>
      </c>
      <c r="L63" s="23">
        <v>756.4550300000001</v>
      </c>
      <c r="M63" s="12">
        <f t="shared" si="12"/>
        <v>20215.835660000004</v>
      </c>
      <c r="N63" s="13"/>
    </row>
    <row r="64" spans="2:14" s="73" customFormat="1" ht="12.75">
      <c r="B64" s="73" t="s">
        <v>164</v>
      </c>
      <c r="C64" s="73" t="s">
        <v>85</v>
      </c>
      <c r="E64" s="657">
        <f>'Aanpassing gegevens'!I50</f>
        <v>1150.669</v>
      </c>
      <c r="F64" s="657">
        <f>'Aanpassing gegevens'!I61</f>
        <v>7085.615683019998</v>
      </c>
      <c r="G64" s="23">
        <v>2505.7657200000003</v>
      </c>
      <c r="H64" s="23">
        <v>119186</v>
      </c>
      <c r="I64" s="657">
        <f>'Aanpassing gegevens'!I80</f>
        <v>117201.584</v>
      </c>
      <c r="J64" s="23">
        <v>890.498</v>
      </c>
      <c r="K64" s="657">
        <f>'Aanpassing gegevens'!I91</f>
        <v>78294.115</v>
      </c>
      <c r="L64" s="23">
        <v>4601.415</v>
      </c>
      <c r="M64" s="12">
        <f t="shared" si="12"/>
        <v>330915.66240301996</v>
      </c>
      <c r="N64" s="13"/>
    </row>
    <row r="65" spans="2:14" s="73" customFormat="1" ht="12.75">
      <c r="B65" s="73" t="s">
        <v>165</v>
      </c>
      <c r="C65" s="73" t="s">
        <v>85</v>
      </c>
      <c r="E65" s="23">
        <v>0</v>
      </c>
      <c r="F65" s="23">
        <v>0</v>
      </c>
      <c r="G65" s="23">
        <v>0</v>
      </c>
      <c r="H65" s="23">
        <v>0</v>
      </c>
      <c r="I65" s="23">
        <v>0</v>
      </c>
      <c r="J65" s="23">
        <v>0</v>
      </c>
      <c r="K65" s="23">
        <v>0</v>
      </c>
      <c r="L65" s="23">
        <v>350</v>
      </c>
      <c r="M65" s="12">
        <f t="shared" si="12"/>
        <v>350</v>
      </c>
      <c r="N65" s="13"/>
    </row>
    <row r="66" spans="2:14" s="73" customFormat="1" ht="12.75">
      <c r="B66" s="74" t="s">
        <v>166</v>
      </c>
      <c r="C66" s="73" t="s">
        <v>85</v>
      </c>
      <c r="D66" s="74"/>
      <c r="E66" s="12">
        <f aca="true" t="shared" si="13" ref="E66:L66">SUM(E62:E65)</f>
        <v>4374.669</v>
      </c>
      <c r="F66" s="12">
        <f t="shared" si="13"/>
        <v>10482.198483019998</v>
      </c>
      <c r="G66" s="12">
        <f t="shared" si="13"/>
        <v>9584.359680000001</v>
      </c>
      <c r="H66" s="12">
        <f t="shared" si="13"/>
        <v>216970.5885</v>
      </c>
      <c r="I66" s="12">
        <f t="shared" si="13"/>
        <v>181019.9472</v>
      </c>
      <c r="J66" s="12">
        <f t="shared" si="13"/>
        <v>2921.458</v>
      </c>
      <c r="K66" s="12">
        <f t="shared" si="13"/>
        <v>145785.93475000001</v>
      </c>
      <c r="L66" s="12">
        <f t="shared" si="13"/>
        <v>11823.83303</v>
      </c>
      <c r="M66" s="12">
        <f t="shared" si="12"/>
        <v>582962.98864302</v>
      </c>
      <c r="N66" s="13"/>
    </row>
    <row r="67" spans="2:14" s="73" customFormat="1" ht="12.75">
      <c r="B67" s="73" t="s">
        <v>167</v>
      </c>
      <c r="C67" s="73" t="s">
        <v>85</v>
      </c>
      <c r="E67" s="23">
        <v>20</v>
      </c>
      <c r="F67" s="23">
        <v>3267.3916649151315</v>
      </c>
      <c r="G67" s="23">
        <v>1914.95078</v>
      </c>
      <c r="H67" s="23">
        <v>0</v>
      </c>
      <c r="I67" s="23">
        <f>58066.7173833519-1168</f>
        <v>56898.7173833519</v>
      </c>
      <c r="J67" s="23">
        <v>1391.731</v>
      </c>
      <c r="K67" s="23">
        <v>97961.1079402058</v>
      </c>
      <c r="L67" s="23">
        <v>0</v>
      </c>
      <c r="M67" s="12">
        <f t="shared" si="12"/>
        <v>161453.89876847283</v>
      </c>
      <c r="N67" s="13"/>
    </row>
    <row r="68" spans="2:14" s="73" customFormat="1" ht="12.75">
      <c r="B68" s="73" t="s">
        <v>168</v>
      </c>
      <c r="C68" s="73" t="s">
        <v>85</v>
      </c>
      <c r="E68" s="23">
        <v>3511</v>
      </c>
      <c r="F68" s="23">
        <v>20658</v>
      </c>
      <c r="G68" s="23">
        <v>784.2928200000001</v>
      </c>
      <c r="H68" s="23">
        <v>0</v>
      </c>
      <c r="I68" s="23">
        <f>185942.943093848-7061</f>
        <v>178881.943093848</v>
      </c>
      <c r="J68" s="657">
        <f>'Aanpassing gegevens'!I136</f>
        <v>748.3571999999999</v>
      </c>
      <c r="K68" s="23">
        <v>42089.4377823699</v>
      </c>
      <c r="L68" s="23">
        <v>0</v>
      </c>
      <c r="M68" s="12">
        <f t="shared" si="12"/>
        <v>246673.0308962179</v>
      </c>
      <c r="N68" s="13"/>
    </row>
    <row r="69" spans="2:14" s="73" customFormat="1" ht="12.75">
      <c r="B69" s="73" t="s">
        <v>169</v>
      </c>
      <c r="C69" s="73" t="s">
        <v>85</v>
      </c>
      <c r="E69" s="23">
        <v>0</v>
      </c>
      <c r="F69" s="23">
        <v>0</v>
      </c>
      <c r="G69" s="23">
        <v>0</v>
      </c>
      <c r="H69" s="23">
        <v>0</v>
      </c>
      <c r="I69" s="23">
        <v>0</v>
      </c>
      <c r="J69" s="23">
        <v>0</v>
      </c>
      <c r="K69" s="23">
        <v>0</v>
      </c>
      <c r="L69" s="23">
        <v>0</v>
      </c>
      <c r="M69" s="12">
        <f t="shared" si="12"/>
        <v>0</v>
      </c>
      <c r="N69" s="13"/>
    </row>
    <row r="70" spans="2:14" s="73" customFormat="1" ht="12.75">
      <c r="B70" s="73" t="s">
        <v>170</v>
      </c>
      <c r="C70" s="73" t="s">
        <v>85</v>
      </c>
      <c r="E70" s="23">
        <v>0</v>
      </c>
      <c r="F70" s="23">
        <v>0</v>
      </c>
      <c r="G70" s="23">
        <v>0</v>
      </c>
      <c r="H70" s="23">
        <v>0</v>
      </c>
      <c r="I70" s="23">
        <v>0</v>
      </c>
      <c r="J70" s="23">
        <v>0</v>
      </c>
      <c r="K70" s="23">
        <v>0</v>
      </c>
      <c r="L70" s="23">
        <v>0</v>
      </c>
      <c r="M70" s="12">
        <f t="shared" si="12"/>
        <v>0</v>
      </c>
      <c r="N70" s="13"/>
    </row>
    <row r="71" spans="2:14" s="73" customFormat="1" ht="12.75">
      <c r="B71" s="73" t="s">
        <v>255</v>
      </c>
      <c r="C71" s="73" t="s">
        <v>85</v>
      </c>
      <c r="E71" s="23">
        <v>0</v>
      </c>
      <c r="F71" s="23">
        <v>0</v>
      </c>
      <c r="G71" s="23">
        <v>0</v>
      </c>
      <c r="H71" s="23">
        <v>0</v>
      </c>
      <c r="I71" s="23">
        <v>0</v>
      </c>
      <c r="J71" s="23">
        <v>0</v>
      </c>
      <c r="K71" s="23">
        <v>0</v>
      </c>
      <c r="L71" s="23">
        <v>0</v>
      </c>
      <c r="M71" s="12">
        <f t="shared" si="12"/>
        <v>0</v>
      </c>
      <c r="N71" s="13"/>
    </row>
    <row r="72" spans="2:14" s="73" customFormat="1" ht="12.75">
      <c r="B72" s="73" t="s">
        <v>171</v>
      </c>
      <c r="C72" s="73" t="s">
        <v>85</v>
      </c>
      <c r="E72" s="23">
        <v>0</v>
      </c>
      <c r="F72" s="23">
        <v>482.726</v>
      </c>
      <c r="G72" s="23">
        <v>0</v>
      </c>
      <c r="H72" s="23">
        <v>1677</v>
      </c>
      <c r="I72" s="23">
        <v>14012</v>
      </c>
      <c r="J72" s="23">
        <v>0.1499</v>
      </c>
      <c r="K72" s="23">
        <v>14761.361</v>
      </c>
      <c r="L72" s="23">
        <v>13</v>
      </c>
      <c r="M72" s="12">
        <f t="shared" si="12"/>
        <v>30946.236900000004</v>
      </c>
      <c r="N72" s="13"/>
    </row>
    <row r="73" spans="2:14" s="73" customFormat="1" ht="12.75">
      <c r="B73" s="73" t="s">
        <v>180</v>
      </c>
      <c r="C73" s="73" t="s">
        <v>85</v>
      </c>
      <c r="D73" s="77"/>
      <c r="E73" s="23">
        <v>0</v>
      </c>
      <c r="F73" s="23">
        <v>1.4666091773348915</v>
      </c>
      <c r="G73" s="23">
        <v>228.188337825</v>
      </c>
      <c r="H73" s="23">
        <v>14584</v>
      </c>
      <c r="I73" s="23">
        <v>0</v>
      </c>
      <c r="J73" s="23">
        <v>19.881</v>
      </c>
      <c r="K73" s="23">
        <v>404.6035524264206</v>
      </c>
      <c r="L73" s="23">
        <v>0</v>
      </c>
      <c r="M73" s="12">
        <f t="shared" si="12"/>
        <v>15238.139499428755</v>
      </c>
      <c r="N73" s="13"/>
    </row>
    <row r="74" spans="2:14" s="73" customFormat="1" ht="12.75">
      <c r="B74" s="73" t="s">
        <v>172</v>
      </c>
      <c r="C74" s="73" t="s">
        <v>85</v>
      </c>
      <c r="E74" s="23">
        <v>172</v>
      </c>
      <c r="F74" s="23">
        <v>420.40943151862973</v>
      </c>
      <c r="G74" s="23">
        <v>3256.063996837209</v>
      </c>
      <c r="H74" s="23">
        <v>227374</v>
      </c>
      <c r="I74" s="23">
        <v>-12609.76218949518</v>
      </c>
      <c r="J74" s="23">
        <v>365.873</v>
      </c>
      <c r="K74" s="23">
        <v>54602.8446972357</v>
      </c>
      <c r="L74" s="23">
        <v>7106.591</v>
      </c>
      <c r="M74" s="12">
        <f t="shared" si="12"/>
        <v>280688.0199360964</v>
      </c>
      <c r="N74" s="13"/>
    </row>
    <row r="75" spans="2:14" s="73" customFormat="1" ht="12.75">
      <c r="B75" s="73" t="s">
        <v>31</v>
      </c>
      <c r="C75" s="73" t="s">
        <v>85</v>
      </c>
      <c r="E75" s="23">
        <v>0</v>
      </c>
      <c r="F75" s="23">
        <v>0</v>
      </c>
      <c r="G75" s="23">
        <v>0</v>
      </c>
      <c r="H75" s="23">
        <v>0</v>
      </c>
      <c r="I75" s="23">
        <v>0</v>
      </c>
      <c r="J75" s="23">
        <v>0</v>
      </c>
      <c r="K75" s="23">
        <v>0</v>
      </c>
      <c r="L75" s="23">
        <v>0</v>
      </c>
      <c r="M75" s="12">
        <f>SUM(E75:L75)</f>
        <v>0</v>
      </c>
      <c r="N75" s="13"/>
    </row>
    <row r="76" spans="2:14" s="73" customFormat="1" ht="12.75">
      <c r="B76" s="74" t="s">
        <v>173</v>
      </c>
      <c r="C76" s="73" t="s">
        <v>85</v>
      </c>
      <c r="D76" s="74"/>
      <c r="E76" s="12">
        <f>SUM(E67:E75)</f>
        <v>3703</v>
      </c>
      <c r="F76" s="12">
        <f aca="true" t="shared" si="14" ref="F76:L76">SUM(F67:F75)</f>
        <v>24829.993705611098</v>
      </c>
      <c r="G76" s="12">
        <f t="shared" si="14"/>
        <v>6183.495934662209</v>
      </c>
      <c r="H76" s="12">
        <f t="shared" si="14"/>
        <v>243635</v>
      </c>
      <c r="I76" s="12">
        <f t="shared" si="14"/>
        <v>237182.89828770474</v>
      </c>
      <c r="J76" s="12">
        <f t="shared" si="14"/>
        <v>2525.9921</v>
      </c>
      <c r="K76" s="12">
        <f t="shared" si="14"/>
        <v>209819.3549722378</v>
      </c>
      <c r="L76" s="12">
        <f t="shared" si="14"/>
        <v>7119.591</v>
      </c>
      <c r="M76" s="12">
        <f t="shared" si="12"/>
        <v>734999.3260002158</v>
      </c>
      <c r="N76" s="13"/>
    </row>
    <row r="77" spans="2:14" s="73" customFormat="1" ht="12.75">
      <c r="B77" s="341"/>
      <c r="E77" s="13"/>
      <c r="F77" s="13"/>
      <c r="G77" s="13"/>
      <c r="H77" s="13"/>
      <c r="I77" s="13"/>
      <c r="J77" s="13"/>
      <c r="K77" s="13"/>
      <c r="L77" s="13"/>
      <c r="M77" s="13"/>
      <c r="N77" s="13"/>
    </row>
    <row r="78" spans="2:14" s="73" customFormat="1" ht="12.75">
      <c r="B78" s="75" t="s">
        <v>102</v>
      </c>
      <c r="C78" s="73" t="s">
        <v>85</v>
      </c>
      <c r="D78" s="75"/>
      <c r="E78" s="12">
        <f>E76+E66</f>
        <v>8077.669</v>
      </c>
      <c r="F78" s="12">
        <f aca="true" t="shared" si="15" ref="F78:L78">F76+F66</f>
        <v>35312.192188631096</v>
      </c>
      <c r="G78" s="12">
        <f>G76+G66</f>
        <v>15767.85561466221</v>
      </c>
      <c r="H78" s="12">
        <f t="shared" si="15"/>
        <v>460605.5885</v>
      </c>
      <c r="I78" s="12">
        <f t="shared" si="15"/>
        <v>418202.84548770473</v>
      </c>
      <c r="J78" s="12">
        <f t="shared" si="15"/>
        <v>5447.4501</v>
      </c>
      <c r="K78" s="12">
        <f t="shared" si="15"/>
        <v>355605.28972223785</v>
      </c>
      <c r="L78" s="12">
        <f t="shared" si="15"/>
        <v>18943.424030000002</v>
      </c>
      <c r="M78" s="12">
        <f>SUM(E78:L78)</f>
        <v>1317962.314643236</v>
      </c>
      <c r="N78" s="13"/>
    </row>
    <row r="79" spans="5:14" s="73" customFormat="1" ht="12.75">
      <c r="E79" s="13"/>
      <c r="F79" s="13"/>
      <c r="G79" s="13"/>
      <c r="H79" s="13"/>
      <c r="I79" s="13"/>
      <c r="J79" s="13"/>
      <c r="K79" s="13"/>
      <c r="L79" s="13"/>
      <c r="M79" s="13"/>
      <c r="N79" s="13"/>
    </row>
    <row r="80" spans="2:14" s="73" customFormat="1" ht="12.75">
      <c r="B80" s="76" t="s">
        <v>104</v>
      </c>
      <c r="E80" s="13"/>
      <c r="F80" s="13"/>
      <c r="G80" s="13"/>
      <c r="H80" s="13"/>
      <c r="I80" s="13"/>
      <c r="J80" s="13"/>
      <c r="K80" s="13"/>
      <c r="L80" s="13"/>
      <c r="M80" s="13"/>
      <c r="N80" s="13"/>
    </row>
    <row r="81" spans="2:14" s="73" customFormat="1" ht="12.75">
      <c r="B81" s="73" t="s">
        <v>105</v>
      </c>
      <c r="C81" s="73" t="s">
        <v>85</v>
      </c>
      <c r="E81" s="23">
        <v>48945.77326052336</v>
      </c>
      <c r="F81" s="23">
        <v>205476.34719272784</v>
      </c>
      <c r="G81" s="23">
        <v>103000.9354165398</v>
      </c>
      <c r="H81" s="657">
        <f>'Aanpassing gegevens'!I105</f>
        <v>3056069.5799078858</v>
      </c>
      <c r="I81" s="23">
        <v>3130753.5641093277</v>
      </c>
      <c r="J81" s="23">
        <v>38578.94497738027</v>
      </c>
      <c r="K81" s="23">
        <v>2506512.556179879</v>
      </c>
      <c r="L81" s="23">
        <v>203121.01052784445</v>
      </c>
      <c r="M81" s="12">
        <f>SUM(E81:L81)</f>
        <v>9292458.711572107</v>
      </c>
      <c r="N81" s="13"/>
    </row>
    <row r="82" spans="2:14" s="73" customFormat="1" ht="12.75">
      <c r="B82" s="73" t="s">
        <v>106</v>
      </c>
      <c r="C82" s="73" t="s">
        <v>85</v>
      </c>
      <c r="E82" s="23">
        <v>3435.184188878582</v>
      </c>
      <c r="F82" s="23">
        <v>10554.17454796856</v>
      </c>
      <c r="G82" s="23">
        <v>6077.204610120808</v>
      </c>
      <c r="H82" s="657">
        <f>'Aanpassing gegevens'!I106</f>
        <v>150064.56014548888</v>
      </c>
      <c r="I82" s="23">
        <v>128015.22787157053</v>
      </c>
      <c r="J82" s="23">
        <v>3060.4529366268544</v>
      </c>
      <c r="K82" s="23">
        <v>109982.77133605658</v>
      </c>
      <c r="L82" s="23">
        <v>6636.165810055261</v>
      </c>
      <c r="M82" s="12">
        <f>SUM(E82:L82)</f>
        <v>417825.7414467661</v>
      </c>
      <c r="N82" s="13"/>
    </row>
    <row r="83" spans="2:14" s="73" customFormat="1" ht="12.75">
      <c r="B83" s="75" t="s">
        <v>103</v>
      </c>
      <c r="C83" s="73" t="s">
        <v>85</v>
      </c>
      <c r="D83" s="75"/>
      <c r="E83" s="12">
        <f aca="true" t="shared" si="16" ref="E83:L83">WACC2011*E81+E82</f>
        <v>6469.822131031031</v>
      </c>
      <c r="F83" s="12">
        <f t="shared" si="16"/>
        <v>23293.708073917685</v>
      </c>
      <c r="G83" s="12">
        <f t="shared" si="16"/>
        <v>12463.262605946275</v>
      </c>
      <c r="H83" s="12">
        <f t="shared" si="16"/>
        <v>339540.8740997778</v>
      </c>
      <c r="I83" s="12">
        <f t="shared" si="16"/>
        <v>322121.94884634885</v>
      </c>
      <c r="J83" s="12">
        <f t="shared" si="16"/>
        <v>5452.347525224432</v>
      </c>
      <c r="K83" s="12">
        <f t="shared" si="16"/>
        <v>265386.54981920903</v>
      </c>
      <c r="L83" s="12">
        <f t="shared" si="16"/>
        <v>19229.668462781618</v>
      </c>
      <c r="M83" s="12">
        <f>SUM(E83:L83)</f>
        <v>993958.1815642366</v>
      </c>
      <c r="N83" s="13"/>
    </row>
    <row r="84" spans="5:14" s="73" customFormat="1" ht="12.75">
      <c r="E84" s="13"/>
      <c r="F84" s="13"/>
      <c r="G84" s="13"/>
      <c r="H84" s="13"/>
      <c r="I84" s="13"/>
      <c r="J84" s="13"/>
      <c r="K84" s="13"/>
      <c r="L84" s="13"/>
      <c r="M84" s="13"/>
      <c r="N84" s="13"/>
    </row>
    <row r="85" spans="2:14" s="73" customFormat="1" ht="12.75">
      <c r="B85" s="252" t="s">
        <v>113</v>
      </c>
      <c r="C85" s="73" t="s">
        <v>85</v>
      </c>
      <c r="D85" s="74"/>
      <c r="E85" s="8">
        <f aca="true" t="shared" si="17" ref="E85:L85">E78+E83</f>
        <v>14547.49113103103</v>
      </c>
      <c r="F85" s="8">
        <f t="shared" si="17"/>
        <v>58605.90026254878</v>
      </c>
      <c r="G85" s="8">
        <f t="shared" si="17"/>
        <v>28231.118220608485</v>
      </c>
      <c r="H85" s="8">
        <f t="shared" si="17"/>
        <v>800146.4625997778</v>
      </c>
      <c r="I85" s="8">
        <f t="shared" si="17"/>
        <v>740324.7943340535</v>
      </c>
      <c r="J85" s="8">
        <f t="shared" si="17"/>
        <v>10899.797625224432</v>
      </c>
      <c r="K85" s="8">
        <f t="shared" si="17"/>
        <v>620991.8395414469</v>
      </c>
      <c r="L85" s="8">
        <f t="shared" si="17"/>
        <v>38173.09249278162</v>
      </c>
      <c r="M85" s="8">
        <f>SUM(E85:L85)</f>
        <v>2311920.4962074724</v>
      </c>
      <c r="N85" s="13"/>
    </row>
    <row r="86" spans="2:14" s="73" customFormat="1" ht="12.75">
      <c r="B86" s="71"/>
      <c r="C86" s="71"/>
      <c r="D86" s="71"/>
      <c r="E86" s="13"/>
      <c r="F86" s="13"/>
      <c r="G86" s="13"/>
      <c r="H86" s="13"/>
      <c r="I86" s="13"/>
      <c r="J86" s="13"/>
      <c r="K86" s="13"/>
      <c r="L86" s="13"/>
      <c r="M86" s="13"/>
      <c r="N86" s="13"/>
    </row>
    <row r="87" spans="2:4" s="42" customFormat="1" ht="12.75">
      <c r="B87" s="78" t="s">
        <v>109</v>
      </c>
      <c r="C87" s="78"/>
      <c r="D87" s="78"/>
    </row>
    <row r="88" spans="2:14" s="73" customFormat="1" ht="12.75">
      <c r="B88" s="94"/>
      <c r="C88" s="94"/>
      <c r="D88" s="94"/>
      <c r="E88" s="13"/>
      <c r="F88" s="13"/>
      <c r="G88" s="13"/>
      <c r="H88" s="13"/>
      <c r="I88" s="13"/>
      <c r="J88" s="13"/>
      <c r="K88" s="13"/>
      <c r="L88" s="13"/>
      <c r="M88" s="13"/>
      <c r="N88" s="13"/>
    </row>
    <row r="89" spans="2:14" s="73" customFormat="1" ht="12.75">
      <c r="B89" s="71" t="s">
        <v>176</v>
      </c>
      <c r="C89" s="71"/>
      <c r="D89" s="71"/>
      <c r="E89" s="13"/>
      <c r="F89" s="13"/>
      <c r="G89" s="13"/>
      <c r="H89" s="13"/>
      <c r="I89" s="13"/>
      <c r="J89" s="13"/>
      <c r="K89" s="13"/>
      <c r="L89" s="13"/>
      <c r="M89" s="13"/>
      <c r="N89" s="13"/>
    </row>
    <row r="90" spans="2:14" s="73" customFormat="1" ht="12.75">
      <c r="B90" s="73" t="s">
        <v>178</v>
      </c>
      <c r="C90" s="73" t="s">
        <v>85</v>
      </c>
      <c r="D90" s="77"/>
      <c r="E90" s="23">
        <v>0</v>
      </c>
      <c r="F90" s="23">
        <v>6923.123109999999</v>
      </c>
      <c r="G90" s="23">
        <v>0</v>
      </c>
      <c r="H90" s="23">
        <v>103693.22223999999</v>
      </c>
      <c r="I90" s="23">
        <v>83589.63441666667</v>
      </c>
      <c r="J90" s="23">
        <v>0</v>
      </c>
      <c r="K90" s="23">
        <v>50878.99972</v>
      </c>
      <c r="L90" s="23">
        <v>5401.28151</v>
      </c>
      <c r="M90" s="12">
        <f aca="true" t="shared" si="18" ref="M90:M104">SUM(E90:L90)</f>
        <v>250486.26099666665</v>
      </c>
      <c r="N90" s="13"/>
    </row>
    <row r="91" spans="2:14" s="73" customFormat="1" ht="12.75">
      <c r="B91" s="73" t="s">
        <v>179</v>
      </c>
      <c r="C91" s="73" t="s">
        <v>85</v>
      </c>
      <c r="D91" s="77"/>
      <c r="E91" s="23">
        <v>3138</v>
      </c>
      <c r="F91" s="23">
        <v>0</v>
      </c>
      <c r="G91" s="23">
        <v>6938.607840000001</v>
      </c>
      <c r="H91" s="23">
        <v>367.79361999999986</v>
      </c>
      <c r="I91" s="23">
        <v>695.8516300000001</v>
      </c>
      <c r="J91" s="23">
        <v>2044.465</v>
      </c>
      <c r="K91" s="23">
        <v>5781.25756</v>
      </c>
      <c r="L91" s="23">
        <v>926.7184900000001</v>
      </c>
      <c r="M91" s="12">
        <f t="shared" si="18"/>
        <v>19892.69414</v>
      </c>
      <c r="N91" s="13"/>
    </row>
    <row r="92" spans="2:14" s="73" customFormat="1" ht="12.75">
      <c r="B92" s="73" t="s">
        <v>164</v>
      </c>
      <c r="C92" s="73" t="s">
        <v>85</v>
      </c>
      <c r="E92" s="657">
        <f>'Aanpassing gegevens'!I51</f>
        <v>1207.525</v>
      </c>
      <c r="F92" s="657">
        <f>'Aanpassing gegevens'!I62</f>
        <v>8689.206577386518</v>
      </c>
      <c r="G92" s="23">
        <v>3506.00269</v>
      </c>
      <c r="H92" s="657">
        <f>'Aanpassing gegevens'!I70</f>
        <v>113178.63925000001</v>
      </c>
      <c r="I92" s="657">
        <f>'Aanpassing gegevens'!I81</f>
        <v>112588.53255</v>
      </c>
      <c r="J92" s="23">
        <v>807.928</v>
      </c>
      <c r="K92" s="657">
        <f>'Aanpassing gegevens'!I92</f>
        <v>90892.04400000001</v>
      </c>
      <c r="L92" s="23">
        <v>6198</v>
      </c>
      <c r="M92" s="12">
        <f t="shared" si="18"/>
        <v>337067.87806738657</v>
      </c>
      <c r="N92" s="13"/>
    </row>
    <row r="93" spans="2:14" s="73" customFormat="1" ht="12.75">
      <c r="B93" s="73" t="s">
        <v>165</v>
      </c>
      <c r="C93" s="73" t="s">
        <v>85</v>
      </c>
      <c r="E93" s="23">
        <v>7</v>
      </c>
      <c r="F93" s="23">
        <v>0</v>
      </c>
      <c r="G93" s="23">
        <v>0</v>
      </c>
      <c r="H93" s="23">
        <v>0</v>
      </c>
      <c r="I93" s="23">
        <v>0</v>
      </c>
      <c r="J93" s="23">
        <v>0</v>
      </c>
      <c r="K93" s="23">
        <v>0</v>
      </c>
      <c r="L93" s="23">
        <v>0</v>
      </c>
      <c r="M93" s="12">
        <f t="shared" si="18"/>
        <v>7</v>
      </c>
      <c r="N93" s="13"/>
    </row>
    <row r="94" spans="2:14" s="73" customFormat="1" ht="12.75">
      <c r="B94" s="74" t="s">
        <v>166</v>
      </c>
      <c r="C94" s="73" t="s">
        <v>85</v>
      </c>
      <c r="D94" s="74"/>
      <c r="E94" s="12">
        <f>SUM(E90:E93)</f>
        <v>4352.525</v>
      </c>
      <c r="F94" s="12">
        <f aca="true" t="shared" si="19" ref="F94:L94">SUM(F90:F93)</f>
        <v>15612.329687386517</v>
      </c>
      <c r="G94" s="12">
        <f t="shared" si="19"/>
        <v>10444.61053</v>
      </c>
      <c r="H94" s="12">
        <f t="shared" si="19"/>
        <v>217239.65511</v>
      </c>
      <c r="I94" s="12">
        <f t="shared" si="19"/>
        <v>196874.0185966667</v>
      </c>
      <c r="J94" s="12">
        <f t="shared" si="19"/>
        <v>2852.393</v>
      </c>
      <c r="K94" s="12">
        <f t="shared" si="19"/>
        <v>147552.30128</v>
      </c>
      <c r="L94" s="12">
        <f t="shared" si="19"/>
        <v>12526</v>
      </c>
      <c r="M94" s="12">
        <f t="shared" si="18"/>
        <v>607453.8332040531</v>
      </c>
      <c r="N94" s="13"/>
    </row>
    <row r="95" spans="2:14" s="73" customFormat="1" ht="12.75">
      <c r="B95" s="73" t="s">
        <v>167</v>
      </c>
      <c r="C95" s="73" t="s">
        <v>85</v>
      </c>
      <c r="E95" s="23">
        <v>1480</v>
      </c>
      <c r="F95" s="23">
        <v>4090.9912872618656</v>
      </c>
      <c r="G95" s="23">
        <v>2175.48403</v>
      </c>
      <c r="H95" s="23">
        <v>0</v>
      </c>
      <c r="I95" s="23">
        <v>69746.79171974</v>
      </c>
      <c r="J95" s="23">
        <v>1367.92257</v>
      </c>
      <c r="K95" s="23">
        <v>99083.9967238163</v>
      </c>
      <c r="L95" s="23">
        <v>0</v>
      </c>
      <c r="M95" s="12">
        <f t="shared" si="18"/>
        <v>177945.18633081816</v>
      </c>
      <c r="N95" s="13"/>
    </row>
    <row r="96" spans="2:14" s="73" customFormat="1" ht="12.75">
      <c r="B96" s="73" t="s">
        <v>168</v>
      </c>
      <c r="C96" s="73" t="s">
        <v>85</v>
      </c>
      <c r="E96" s="23">
        <v>2687</v>
      </c>
      <c r="F96" s="657">
        <f>'Aanpassing gegevens'!I26</f>
        <v>18480.2530427049</v>
      </c>
      <c r="G96" s="23">
        <v>836.6692100000001</v>
      </c>
      <c r="H96" s="23">
        <v>0</v>
      </c>
      <c r="I96" s="657">
        <f>'Aanpassing gegevens'!I38</f>
        <v>248981.427504019</v>
      </c>
      <c r="J96" s="657">
        <f>'Aanpassing gegevens'!I137</f>
        <v>1010.870099</v>
      </c>
      <c r="K96" s="23">
        <v>44849.30867905097</v>
      </c>
      <c r="L96" s="23">
        <v>0</v>
      </c>
      <c r="M96" s="12">
        <f t="shared" si="18"/>
        <v>316845.5285347749</v>
      </c>
      <c r="N96" s="13"/>
    </row>
    <row r="97" spans="2:14" s="73" customFormat="1" ht="12.75">
      <c r="B97" s="73" t="s">
        <v>169</v>
      </c>
      <c r="C97" s="73" t="s">
        <v>85</v>
      </c>
      <c r="E97" s="23">
        <v>0</v>
      </c>
      <c r="F97" s="23">
        <v>0</v>
      </c>
      <c r="G97" s="23">
        <v>0</v>
      </c>
      <c r="H97" s="23">
        <v>0</v>
      </c>
      <c r="I97" s="23">
        <v>0</v>
      </c>
      <c r="J97" s="23">
        <v>0</v>
      </c>
      <c r="K97" s="23">
        <v>0</v>
      </c>
      <c r="L97" s="23">
        <v>0</v>
      </c>
      <c r="M97" s="12">
        <f t="shared" si="18"/>
        <v>0</v>
      </c>
      <c r="N97" s="13"/>
    </row>
    <row r="98" spans="2:14" s="73" customFormat="1" ht="12.75">
      <c r="B98" s="73" t="s">
        <v>170</v>
      </c>
      <c r="C98" s="73" t="s">
        <v>85</v>
      </c>
      <c r="E98" s="23">
        <v>0</v>
      </c>
      <c r="F98" s="23">
        <v>0</v>
      </c>
      <c r="G98" s="23">
        <v>0</v>
      </c>
      <c r="H98" s="23">
        <v>0</v>
      </c>
      <c r="I98" s="23">
        <v>0</v>
      </c>
      <c r="J98" s="23">
        <v>0</v>
      </c>
      <c r="K98" s="23">
        <v>0</v>
      </c>
      <c r="L98" s="23">
        <v>0</v>
      </c>
      <c r="M98" s="12">
        <f t="shared" si="18"/>
        <v>0</v>
      </c>
      <c r="N98" s="13"/>
    </row>
    <row r="99" spans="2:14" s="73" customFormat="1" ht="12.75">
      <c r="B99" s="73" t="s">
        <v>255</v>
      </c>
      <c r="C99" s="73" t="s">
        <v>85</v>
      </c>
      <c r="E99" s="23">
        <v>8</v>
      </c>
      <c r="F99" s="23">
        <v>0</v>
      </c>
      <c r="G99" s="23">
        <v>0</v>
      </c>
      <c r="H99" s="23">
        <v>0</v>
      </c>
      <c r="I99" s="23">
        <v>0</v>
      </c>
      <c r="J99" s="23">
        <v>0</v>
      </c>
      <c r="K99" s="23">
        <v>0</v>
      </c>
      <c r="L99" s="23">
        <v>0</v>
      </c>
      <c r="M99" s="12">
        <f t="shared" si="18"/>
        <v>8</v>
      </c>
      <c r="N99" s="13"/>
    </row>
    <row r="100" spans="2:14" s="73" customFormat="1" ht="12.75">
      <c r="B100" s="73" t="s">
        <v>171</v>
      </c>
      <c r="C100" s="73" t="s">
        <v>85</v>
      </c>
      <c r="E100" s="23"/>
      <c r="F100" s="23">
        <v>494.00998</v>
      </c>
      <c r="G100" s="23">
        <v>0</v>
      </c>
      <c r="H100" s="23">
        <v>1738</v>
      </c>
      <c r="I100" s="23">
        <v>13649.306745956945</v>
      </c>
      <c r="J100" s="23">
        <v>0.1391</v>
      </c>
      <c r="K100" s="23">
        <v>15458.974</v>
      </c>
      <c r="L100" s="23">
        <v>24.34</v>
      </c>
      <c r="M100" s="12">
        <f t="shared" si="18"/>
        <v>31364.769825956948</v>
      </c>
      <c r="N100" s="13"/>
    </row>
    <row r="101" spans="2:14" s="73" customFormat="1" ht="12.75">
      <c r="B101" s="73" t="s">
        <v>180</v>
      </c>
      <c r="C101" s="73" t="s">
        <v>85</v>
      </c>
      <c r="D101" s="77"/>
      <c r="E101" s="23">
        <v>0</v>
      </c>
      <c r="F101" s="23">
        <v>0</v>
      </c>
      <c r="G101" s="23">
        <v>222.29251799999997</v>
      </c>
      <c r="H101" s="23">
        <v>20346</v>
      </c>
      <c r="I101" s="23">
        <v>0</v>
      </c>
      <c r="J101" s="23">
        <v>-40.27095</v>
      </c>
      <c r="K101" s="23">
        <v>634.6782391692743</v>
      </c>
      <c r="L101" s="23">
        <v>0</v>
      </c>
      <c r="M101" s="12">
        <f t="shared" si="18"/>
        <v>21162.699807169276</v>
      </c>
      <c r="N101" s="13"/>
    </row>
    <row r="102" spans="2:14" s="73" customFormat="1" ht="12.75">
      <c r="B102" s="73" t="s">
        <v>172</v>
      </c>
      <c r="C102" s="73" t="s">
        <v>85</v>
      </c>
      <c r="E102" s="23">
        <v>133</v>
      </c>
      <c r="F102" s="23">
        <v>421.09780604585177</v>
      </c>
      <c r="G102" s="23">
        <v>2275.735082160616</v>
      </c>
      <c r="H102" s="23">
        <v>227402</v>
      </c>
      <c r="I102" s="23">
        <v>6191.926108684414</v>
      </c>
      <c r="J102" s="23">
        <v>567.13534</v>
      </c>
      <c r="K102" s="23">
        <v>55563.4395448233</v>
      </c>
      <c r="L102" s="23">
        <v>7386.765633163422</v>
      </c>
      <c r="M102" s="12">
        <f t="shared" si="18"/>
        <v>299941.09951487766</v>
      </c>
      <c r="N102" s="13"/>
    </row>
    <row r="103" spans="2:14" s="73" customFormat="1" ht="12.75">
      <c r="B103" s="73" t="s">
        <v>31</v>
      </c>
      <c r="C103" s="73" t="s">
        <v>85</v>
      </c>
      <c r="E103" s="23">
        <v>0</v>
      </c>
      <c r="F103" s="23">
        <v>0</v>
      </c>
      <c r="G103" s="23">
        <v>0</v>
      </c>
      <c r="H103" s="23">
        <v>0</v>
      </c>
      <c r="I103" s="23">
        <v>0</v>
      </c>
      <c r="J103" s="23">
        <v>0</v>
      </c>
      <c r="K103" s="23">
        <v>0</v>
      </c>
      <c r="L103" s="23">
        <v>0</v>
      </c>
      <c r="M103" s="12">
        <f t="shared" si="18"/>
        <v>0</v>
      </c>
      <c r="N103" s="13"/>
    </row>
    <row r="104" spans="2:14" s="73" customFormat="1" ht="12.75">
      <c r="B104" s="74" t="s">
        <v>173</v>
      </c>
      <c r="C104" s="73" t="s">
        <v>85</v>
      </c>
      <c r="D104" s="74"/>
      <c r="E104" s="12">
        <f>SUM(E95:E103)</f>
        <v>4308</v>
      </c>
      <c r="F104" s="12">
        <f aca="true" t="shared" si="20" ref="F104:L104">SUM(F95:F103)</f>
        <v>23486.352116012615</v>
      </c>
      <c r="G104" s="12">
        <f t="shared" si="20"/>
        <v>5510.180840160616</v>
      </c>
      <c r="H104" s="12">
        <f t="shared" si="20"/>
        <v>249486</v>
      </c>
      <c r="I104" s="12">
        <f t="shared" si="20"/>
        <v>338569.45207840035</v>
      </c>
      <c r="J104" s="12">
        <f t="shared" si="20"/>
        <v>2905.7961589999995</v>
      </c>
      <c r="K104" s="12">
        <f t="shared" si="20"/>
        <v>215590.3971868598</v>
      </c>
      <c r="L104" s="12">
        <f t="shared" si="20"/>
        <v>7411.105633163422</v>
      </c>
      <c r="M104" s="12">
        <f t="shared" si="18"/>
        <v>847267.284013597</v>
      </c>
      <c r="N104" s="13"/>
    </row>
    <row r="105" spans="2:14" s="73" customFormat="1" ht="12.75">
      <c r="B105" s="341"/>
      <c r="E105" s="13"/>
      <c r="F105" s="13"/>
      <c r="G105" s="13"/>
      <c r="H105" s="13"/>
      <c r="I105" s="13"/>
      <c r="J105" s="13"/>
      <c r="K105" s="13"/>
      <c r="L105" s="13"/>
      <c r="M105" s="13"/>
      <c r="N105" s="13"/>
    </row>
    <row r="106" spans="2:14" s="73" customFormat="1" ht="12.75">
      <c r="B106" s="75" t="s">
        <v>102</v>
      </c>
      <c r="C106" s="73" t="s">
        <v>85</v>
      </c>
      <c r="D106" s="75"/>
      <c r="E106" s="12">
        <f>E104+E94</f>
        <v>8660.525</v>
      </c>
      <c r="F106" s="12">
        <f aca="true" t="shared" si="21" ref="F106:L106">F104+F94</f>
        <v>39098.68180339913</v>
      </c>
      <c r="G106" s="12">
        <f>G104+G94</f>
        <v>15954.791370160616</v>
      </c>
      <c r="H106" s="12">
        <f t="shared" si="21"/>
        <v>466725.65511</v>
      </c>
      <c r="I106" s="12">
        <f t="shared" si="21"/>
        <v>535443.470675067</v>
      </c>
      <c r="J106" s="12">
        <f t="shared" si="21"/>
        <v>5758.189159</v>
      </c>
      <c r="K106" s="12">
        <f t="shared" si="21"/>
        <v>363142.6984668598</v>
      </c>
      <c r="L106" s="12">
        <f t="shared" si="21"/>
        <v>19937.10563316342</v>
      </c>
      <c r="M106" s="12">
        <f>SUM(E106:L106)</f>
        <v>1454721.11721765</v>
      </c>
      <c r="N106" s="158"/>
    </row>
    <row r="107" spans="2:14" s="73" customFormat="1" ht="12.75">
      <c r="B107" s="229"/>
      <c r="E107" s="13"/>
      <c r="F107" s="13"/>
      <c r="G107" s="13"/>
      <c r="H107" s="13"/>
      <c r="I107" s="13"/>
      <c r="J107" s="13"/>
      <c r="K107" s="13"/>
      <c r="L107" s="13"/>
      <c r="M107" s="13"/>
      <c r="N107" s="13"/>
    </row>
    <row r="108" spans="2:14" s="73" customFormat="1" ht="12.75">
      <c r="B108" s="76" t="s">
        <v>104</v>
      </c>
      <c r="E108" s="13"/>
      <c r="F108" s="13"/>
      <c r="G108" s="13"/>
      <c r="H108" s="13"/>
      <c r="I108" s="13"/>
      <c r="J108" s="13"/>
      <c r="K108" s="13"/>
      <c r="L108" s="13"/>
      <c r="M108" s="13"/>
      <c r="N108" s="13"/>
    </row>
    <row r="109" spans="2:14" s="73" customFormat="1" ht="12.75">
      <c r="B109" s="73" t="s">
        <v>105</v>
      </c>
      <c r="C109" s="73" t="s">
        <v>85</v>
      </c>
      <c r="E109" s="23">
        <v>50203.27310860409</v>
      </c>
      <c r="F109" s="657">
        <f>'Aanpassing gegevens'!I27</f>
        <v>229660.57792119548</v>
      </c>
      <c r="G109" s="23">
        <v>102832.33865969641</v>
      </c>
      <c r="H109" s="657">
        <f>'Aanpassing gegevens'!I107</f>
        <v>3186788.2189473803</v>
      </c>
      <c r="I109" s="23">
        <v>3206721.3844584576</v>
      </c>
      <c r="J109" s="23">
        <v>39223.83731376314</v>
      </c>
      <c r="K109" s="23">
        <v>2587566.6843273053</v>
      </c>
      <c r="L109" s="23">
        <v>222574.33123156155</v>
      </c>
      <c r="M109" s="12">
        <f>SUM(E109:L109)</f>
        <v>9625570.645967964</v>
      </c>
      <c r="N109" s="13"/>
    </row>
    <row r="110" spans="2:14" s="73" customFormat="1" ht="12.75">
      <c r="B110" s="73" t="s">
        <v>106</v>
      </c>
      <c r="C110" s="73" t="s">
        <v>85</v>
      </c>
      <c r="E110" s="23">
        <v>3605.764896256029</v>
      </c>
      <c r="F110" s="657">
        <f>'Aanpassing gegevens'!I28</f>
        <v>11818.031881699684</v>
      </c>
      <c r="G110" s="23">
        <v>6422.351150172674</v>
      </c>
      <c r="H110" s="657">
        <f>'Aanpassing gegevens'!I108</f>
        <v>157290.51344864225</v>
      </c>
      <c r="I110" s="23">
        <v>134334.9842630497</v>
      </c>
      <c r="J110" s="23">
        <v>3283.112858023419</v>
      </c>
      <c r="K110" s="23">
        <v>116200.17413630703</v>
      </c>
      <c r="L110" s="23">
        <v>7089.213055378643</v>
      </c>
      <c r="M110" s="12">
        <f>SUM(E110:L110)</f>
        <v>440044.1456895295</v>
      </c>
      <c r="N110" s="13"/>
    </row>
    <row r="111" spans="2:14" s="73" customFormat="1" ht="12.75">
      <c r="B111" s="75" t="s">
        <v>103</v>
      </c>
      <c r="C111" s="73" t="s">
        <v>85</v>
      </c>
      <c r="D111" s="75"/>
      <c r="E111" s="12">
        <f>WACC2011*E109+E110</f>
        <v>6718.367828989482</v>
      </c>
      <c r="F111" s="12">
        <f aca="true" t="shared" si="22" ref="F111:L111">WACC2011*F109+F110</f>
        <v>26056.987712813803</v>
      </c>
      <c r="G111" s="12">
        <f t="shared" si="22"/>
        <v>12797.956147073852</v>
      </c>
      <c r="H111" s="12">
        <f t="shared" si="22"/>
        <v>354871.38302337984</v>
      </c>
      <c r="I111" s="12">
        <f t="shared" si="22"/>
        <v>333151.71009947406</v>
      </c>
      <c r="J111" s="12">
        <f t="shared" si="22"/>
        <v>5714.990771476734</v>
      </c>
      <c r="K111" s="12">
        <f t="shared" si="22"/>
        <v>276629.30856459995</v>
      </c>
      <c r="L111" s="12">
        <f t="shared" si="22"/>
        <v>20888.82159173546</v>
      </c>
      <c r="M111" s="12">
        <f>SUM(E111:L111)</f>
        <v>1036829.5257395433</v>
      </c>
      <c r="N111" s="13"/>
    </row>
    <row r="112" spans="5:14" s="73" customFormat="1" ht="12.75">
      <c r="E112" s="13"/>
      <c r="F112" s="13"/>
      <c r="G112" s="13"/>
      <c r="H112" s="13"/>
      <c r="I112" s="13"/>
      <c r="J112" s="13"/>
      <c r="K112" s="13"/>
      <c r="L112" s="13"/>
      <c r="M112" s="13"/>
      <c r="N112" s="13"/>
    </row>
    <row r="113" spans="2:14" s="73" customFormat="1" ht="12.75">
      <c r="B113" s="252" t="s">
        <v>112</v>
      </c>
      <c r="C113" s="73" t="s">
        <v>85</v>
      </c>
      <c r="D113" s="74"/>
      <c r="E113" s="8">
        <f aca="true" t="shared" si="23" ref="E113:L113">E106+E111</f>
        <v>15378.892828989483</v>
      </c>
      <c r="F113" s="8">
        <f t="shared" si="23"/>
        <v>65155.66951621293</v>
      </c>
      <c r="G113" s="8">
        <f t="shared" si="23"/>
        <v>28752.747517234468</v>
      </c>
      <c r="H113" s="8">
        <f t="shared" si="23"/>
        <v>821597.0381333798</v>
      </c>
      <c r="I113" s="8">
        <f t="shared" si="23"/>
        <v>868595.1807745411</v>
      </c>
      <c r="J113" s="8">
        <f t="shared" si="23"/>
        <v>11473.179930476734</v>
      </c>
      <c r="K113" s="8">
        <f t="shared" si="23"/>
        <v>639772.0070314598</v>
      </c>
      <c r="L113" s="8">
        <f t="shared" si="23"/>
        <v>40825.927224898885</v>
      </c>
      <c r="M113" s="8">
        <f>SUM(E113:L113)</f>
        <v>2491550.642957193</v>
      </c>
      <c r="N113" s="13"/>
    </row>
    <row r="114" spans="2:14" s="73" customFormat="1" ht="12.75">
      <c r="B114" s="71"/>
      <c r="C114" s="71"/>
      <c r="D114" s="71"/>
      <c r="E114" s="13"/>
      <c r="F114" s="13"/>
      <c r="G114" s="13"/>
      <c r="H114" s="13"/>
      <c r="I114" s="13"/>
      <c r="J114" s="13"/>
      <c r="K114" s="13"/>
      <c r="L114" s="13"/>
      <c r="M114" s="13"/>
      <c r="N114" s="13"/>
    </row>
    <row r="115" spans="5:13" ht="12.75">
      <c r="E115" s="161"/>
      <c r="F115" s="161"/>
      <c r="G115" s="161"/>
      <c r="H115" s="161"/>
      <c r="I115" s="161"/>
      <c r="J115" s="161"/>
      <c r="K115" s="161"/>
      <c r="L115" s="161"/>
      <c r="M115" s="161"/>
    </row>
    <row r="116" spans="2:13" s="42" customFormat="1" ht="12.75">
      <c r="B116" s="78" t="s">
        <v>119</v>
      </c>
      <c r="C116" s="78"/>
      <c r="D116" s="78"/>
      <c r="E116" s="162"/>
      <c r="F116" s="162"/>
      <c r="G116" s="162"/>
      <c r="H116" s="162"/>
      <c r="I116" s="162"/>
      <c r="J116" s="162"/>
      <c r="K116" s="162"/>
      <c r="L116" s="162"/>
      <c r="M116" s="162"/>
    </row>
    <row r="117" spans="5:13" ht="12.75">
      <c r="E117" s="161"/>
      <c r="F117" s="161"/>
      <c r="G117" s="161"/>
      <c r="H117" s="161"/>
      <c r="I117" s="161"/>
      <c r="J117" s="161"/>
      <c r="K117" s="161"/>
      <c r="L117" s="161"/>
      <c r="M117" s="161"/>
    </row>
    <row r="118" spans="2:13" ht="12.75">
      <c r="B118" s="74" t="s">
        <v>48</v>
      </c>
      <c r="C118" s="73" t="s">
        <v>85</v>
      </c>
      <c r="E118" s="18">
        <f>E113</f>
        <v>15378.892828989483</v>
      </c>
      <c r="F118" s="18">
        <f aca="true" t="shared" si="24" ref="F118:M118">F113</f>
        <v>65155.66951621293</v>
      </c>
      <c r="G118" s="18">
        <f t="shared" si="24"/>
        <v>28752.747517234468</v>
      </c>
      <c r="H118" s="18">
        <f t="shared" si="24"/>
        <v>821597.0381333798</v>
      </c>
      <c r="I118" s="18">
        <f t="shared" si="24"/>
        <v>868595.1807745411</v>
      </c>
      <c r="J118" s="18">
        <f t="shared" si="24"/>
        <v>11473.179930476734</v>
      </c>
      <c r="K118" s="18">
        <f t="shared" si="24"/>
        <v>639772.0070314598</v>
      </c>
      <c r="L118" s="18">
        <f t="shared" si="24"/>
        <v>40825.927224898885</v>
      </c>
      <c r="M118" s="18">
        <f t="shared" si="24"/>
        <v>2491550.642957193</v>
      </c>
    </row>
    <row r="119" spans="5:13" ht="12.75">
      <c r="E119" s="161"/>
      <c r="F119" s="161"/>
      <c r="G119" s="161"/>
      <c r="H119" s="161"/>
      <c r="I119" s="161"/>
      <c r="J119" s="161"/>
      <c r="K119" s="161"/>
      <c r="L119" s="161"/>
      <c r="M119" s="161"/>
    </row>
    <row r="120" spans="2:13" ht="12.75">
      <c r="B120" s="16" t="s">
        <v>49</v>
      </c>
      <c r="C120" s="73" t="s">
        <v>85</v>
      </c>
      <c r="D120" s="589"/>
      <c r="E120" s="18">
        <f>('EAV (incl RV)'!D160)/1000</f>
        <v>804.1970461404836</v>
      </c>
      <c r="F120" s="18">
        <f>('EAV (incl RV)'!I160)/1000</f>
        <v>2812.87367</v>
      </c>
      <c r="G120" s="18">
        <f>('EAV (incl RV)'!S160)/1000</f>
        <v>1366.39603</v>
      </c>
      <c r="H120" s="18">
        <f>('EAV (incl RV)'!N160)/1000</f>
        <v>43085.814909999994</v>
      </c>
      <c r="I120" s="18">
        <f>('EAV (incl RV)'!X160)/1000</f>
        <v>40136.85325</v>
      </c>
      <c r="J120" s="18">
        <f>('EAV (incl RV)'!AC160)/1000</f>
        <v>408.6504</v>
      </c>
      <c r="K120" s="18">
        <f>('EAV (incl RV)'!AH160)/1000</f>
        <v>41875.77451426088</v>
      </c>
      <c r="L120" s="18">
        <f>('EAV (incl RV)'!AM160)/1000</f>
        <v>2518.49805</v>
      </c>
      <c r="M120" s="18">
        <f>SUM(E120:L120)</f>
        <v>133009.05787040136</v>
      </c>
    </row>
    <row r="121" spans="2:13" ht="12.75">
      <c r="B121" s="16" t="s">
        <v>50</v>
      </c>
      <c r="C121" s="73" t="s">
        <v>85</v>
      </c>
      <c r="D121" s="589"/>
      <c r="E121" s="18">
        <f>('EAV (incl RV)'!D194)/1000</f>
        <v>193.19653360408276</v>
      </c>
      <c r="F121" s="18">
        <f>('EAV (incl RV)'!I194)/1000</f>
        <v>2682.8667700000005</v>
      </c>
      <c r="G121" s="18">
        <f>('EAV (incl RV)'!S194)/1000</f>
        <v>383.34727999999996</v>
      </c>
      <c r="H121" s="18">
        <f>('EAV (incl RV)'!N194)/1000</f>
        <v>12972.489599999999</v>
      </c>
      <c r="I121" s="18">
        <f>('EAV (incl RV)'!X194)/1000</f>
        <v>10801.649196666667</v>
      </c>
      <c r="J121" s="18">
        <f>('EAV (incl RV)'!AC194)/1000</f>
        <v>82.45379</v>
      </c>
      <c r="K121" s="18">
        <f>('EAV (incl RV)'!AH194)/1000</f>
        <v>8795.492945739126</v>
      </c>
      <c r="L121" s="18">
        <f>('EAV (incl RV)'!AM194)/1000</f>
        <v>520.05193</v>
      </c>
      <c r="M121" s="18">
        <f>SUM(E121:L121)</f>
        <v>36431.54804600988</v>
      </c>
    </row>
    <row r="122" spans="5:13" ht="12.75">
      <c r="E122" s="161"/>
      <c r="F122" s="161"/>
      <c r="G122" s="161"/>
      <c r="H122" s="161"/>
      <c r="I122" s="161"/>
      <c r="J122" s="161"/>
      <c r="K122" s="161"/>
      <c r="L122" s="161"/>
      <c r="M122" s="161"/>
    </row>
    <row r="123" spans="2:13" ht="12.75">
      <c r="B123" s="74" t="s">
        <v>115</v>
      </c>
      <c r="C123" s="73" t="s">
        <v>85</v>
      </c>
      <c r="E123" s="68">
        <f>SUM(E118,E120:E121)</f>
        <v>16376.28640873405</v>
      </c>
      <c r="F123" s="68">
        <f aca="true" t="shared" si="25" ref="F123:L123">SUM(F118,F120:F121)</f>
        <v>70651.40995621294</v>
      </c>
      <c r="G123" s="68">
        <f t="shared" si="25"/>
        <v>30502.49082723447</v>
      </c>
      <c r="H123" s="68">
        <f t="shared" si="25"/>
        <v>877655.3426433797</v>
      </c>
      <c r="I123" s="68">
        <f t="shared" si="25"/>
        <v>919533.6832212078</v>
      </c>
      <c r="J123" s="68">
        <f t="shared" si="25"/>
        <v>11964.284120476734</v>
      </c>
      <c r="K123" s="68">
        <f t="shared" si="25"/>
        <v>690443.2744914598</v>
      </c>
      <c r="L123" s="68">
        <f t="shared" si="25"/>
        <v>43864.47720489889</v>
      </c>
      <c r="M123" s="68">
        <f>SUM(E123:L123)</f>
        <v>2660991.2488736045</v>
      </c>
    </row>
    <row r="124" spans="2:13" ht="12.75">
      <c r="B124" s="74"/>
      <c r="C124" s="73"/>
      <c r="E124" s="69"/>
      <c r="F124" s="69"/>
      <c r="G124" s="69"/>
      <c r="H124" s="69"/>
      <c r="I124" s="69"/>
      <c r="J124" s="69"/>
      <c r="K124" s="69"/>
      <c r="L124" s="69"/>
      <c r="M124" s="69"/>
    </row>
    <row r="126" spans="2:14" s="5" customFormat="1" ht="12.75">
      <c r="B126" s="6" t="s">
        <v>120</v>
      </c>
      <c r="C126" s="253"/>
      <c r="D126" s="6"/>
      <c r="E126" s="254"/>
      <c r="F126" s="254"/>
      <c r="G126" s="254"/>
      <c r="H126" s="254"/>
      <c r="I126" s="254"/>
      <c r="J126" s="254"/>
      <c r="K126" s="254"/>
      <c r="L126" s="254"/>
      <c r="M126" s="254"/>
      <c r="N126" s="254"/>
    </row>
    <row r="127" s="86" customFormat="1" ht="12.75">
      <c r="C127" s="154"/>
    </row>
    <row r="128" spans="2:14" s="86" customFormat="1" ht="12.75">
      <c r="B128" s="1" t="s">
        <v>116</v>
      </c>
      <c r="C128" s="255" t="s">
        <v>85</v>
      </c>
      <c r="D128" s="159">
        <f>M106+M120+M121</f>
        <v>1624161.723134061</v>
      </c>
      <c r="E128" s="250"/>
      <c r="F128" s="250"/>
      <c r="G128" s="250"/>
      <c r="H128" s="250"/>
      <c r="I128" s="250"/>
      <c r="J128" s="250"/>
      <c r="K128" s="250"/>
      <c r="L128" s="250"/>
      <c r="M128" s="250"/>
      <c r="N128" s="250"/>
    </row>
    <row r="129" spans="2:14" s="86" customFormat="1" ht="12.75">
      <c r="B129" s="1" t="s">
        <v>117</v>
      </c>
      <c r="C129" s="255" t="s">
        <v>85</v>
      </c>
      <c r="D129" s="159">
        <f>WACC2009*M109+M110</f>
        <v>969450.5312177675</v>
      </c>
      <c r="E129" s="250"/>
      <c r="F129" s="250"/>
      <c r="G129" s="250"/>
      <c r="H129" s="250"/>
      <c r="I129" s="250"/>
      <c r="J129" s="250"/>
      <c r="K129" s="250"/>
      <c r="L129" s="250"/>
      <c r="M129" s="250"/>
      <c r="N129" s="250"/>
    </row>
    <row r="130" spans="2:14" s="86" customFormat="1" ht="12.75">
      <c r="B130" s="15" t="s">
        <v>118</v>
      </c>
      <c r="C130" s="255" t="s">
        <v>85</v>
      </c>
      <c r="D130" s="160">
        <f>D128+D129</f>
        <v>2593612.2543518287</v>
      </c>
      <c r="E130" s="250"/>
      <c r="F130" s="250"/>
      <c r="G130" s="250"/>
      <c r="H130" s="250"/>
      <c r="I130" s="250"/>
      <c r="J130" s="250"/>
      <c r="K130" s="250"/>
      <c r="L130" s="250"/>
      <c r="M130" s="250"/>
      <c r="N130" s="250"/>
    </row>
    <row r="131" s="86" customFormat="1" ht="12.75">
      <c r="C131" s="154"/>
    </row>
    <row r="65488" ht="12.75">
      <c r="C65488" s="73"/>
    </row>
  </sheetData>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Blad6">
    <tabColor indexed="44"/>
  </sheetPr>
  <dimension ref="A2:N53"/>
  <sheetViews>
    <sheetView showGridLines="0" zoomScale="85" zoomScaleNormal="85" workbookViewId="0" topLeftCell="A1">
      <pane xSplit="4" ySplit="2" topLeftCell="E3" activePane="bottomRight" state="frozen"/>
      <selection pane="topLeft" activeCell="A1" sqref="A1"/>
      <selection pane="topRight" activeCell="D1" sqref="D1"/>
      <selection pane="bottomLeft" activeCell="A3" sqref="A3"/>
      <selection pane="bottomRight" activeCell="E50" sqref="E50:L50"/>
    </sheetView>
  </sheetViews>
  <sheetFormatPr defaultColWidth="9.140625" defaultRowHeight="12.75"/>
  <cols>
    <col min="1" max="1" width="2.28125" style="24" customWidth="1"/>
    <col min="2" max="2" width="39.8515625" style="24" customWidth="1"/>
    <col min="3" max="3" width="3.140625" style="24" customWidth="1"/>
    <col min="4" max="4" width="4.140625" style="24" customWidth="1"/>
    <col min="5" max="5" width="11.8515625" style="24" bestFit="1" customWidth="1"/>
    <col min="6" max="6" width="12.7109375" style="24" bestFit="1" customWidth="1"/>
    <col min="7" max="7" width="11.8515625" style="24" bestFit="1" customWidth="1"/>
    <col min="8" max="8" width="14.00390625" style="24" bestFit="1" customWidth="1"/>
    <col min="9" max="9" width="11.8515625" style="24" bestFit="1" customWidth="1"/>
    <col min="10" max="11" width="14.00390625" style="24" bestFit="1" customWidth="1"/>
    <col min="12" max="12" width="11.8515625" style="24" bestFit="1" customWidth="1"/>
    <col min="13" max="13" width="11.7109375" style="81" customWidth="1"/>
    <col min="14" max="14" width="3.00390625" style="81" customWidth="1"/>
    <col min="15" max="16384" width="9.140625" style="24" customWidth="1"/>
  </cols>
  <sheetData>
    <row r="1" ht="12.75"/>
    <row r="2" spans="1:14" s="152" customFormat="1" ht="66.75">
      <c r="A2" s="2"/>
      <c r="B2" s="3" t="s">
        <v>181</v>
      </c>
      <c r="C2" s="3"/>
      <c r="D2" s="3"/>
      <c r="E2" s="4" t="s">
        <v>139</v>
      </c>
      <c r="F2" s="4" t="s">
        <v>58</v>
      </c>
      <c r="G2" s="4" t="s">
        <v>388</v>
      </c>
      <c r="H2" s="4" t="s">
        <v>141</v>
      </c>
      <c r="I2" s="4" t="s">
        <v>142</v>
      </c>
      <c r="J2" s="4" t="s">
        <v>143</v>
      </c>
      <c r="K2" s="4" t="s">
        <v>140</v>
      </c>
      <c r="L2" s="4" t="s">
        <v>59</v>
      </c>
      <c r="M2" s="4" t="s">
        <v>145</v>
      </c>
      <c r="N2" s="83"/>
    </row>
    <row r="3" ht="12.75"/>
    <row r="4" spans="2:4" s="5" customFormat="1" ht="12.75">
      <c r="B4" s="6">
        <v>2006</v>
      </c>
      <c r="C4" s="6"/>
      <c r="D4" s="6"/>
    </row>
    <row r="5" spans="13:14" s="26" customFormat="1" ht="12.75">
      <c r="M5" s="84"/>
      <c r="N5" s="84"/>
    </row>
    <row r="6" spans="2:14" s="27" customFormat="1" ht="11.25">
      <c r="B6" s="64" t="s">
        <v>233</v>
      </c>
      <c r="C6" s="64"/>
      <c r="D6" s="64"/>
      <c r="E6" s="28">
        <f>SUMPRODUCT(Wegingsfactoren!$D291:$D393,Volumes!E20:E122)</f>
        <v>12218830.300466126</v>
      </c>
      <c r="F6" s="28">
        <f>SUMPRODUCT(Wegingsfactoren!$D291:$D393,Volumes!F20:F122)</f>
        <v>59760087.56828207</v>
      </c>
      <c r="G6" s="28">
        <f>SUMPRODUCT(Wegingsfactoren!$D291:$D393,Volumes!G20:G122)</f>
        <v>25259489.354475398</v>
      </c>
      <c r="H6" s="28">
        <f>SUMPRODUCT(Wegingsfactoren!$D291:$D393,Volumes!H20:H122)</f>
        <v>661461181.6888368</v>
      </c>
      <c r="I6" s="28">
        <f>SUMPRODUCT(Wegingsfactoren!$D291:$D393,Volumes!I20:I122)</f>
        <v>680842754.7941926</v>
      </c>
      <c r="J6" s="28">
        <f>SUMPRODUCT(Wegingsfactoren!$D291:$D393,Volumes!J20:J122)</f>
        <v>7533265.326826673</v>
      </c>
      <c r="K6" s="28">
        <f>SUMPRODUCT(Wegingsfactoren!$D291:$D393,Volumes!K20:K122)</f>
        <v>483277179.6080625</v>
      </c>
      <c r="L6" s="28">
        <f>SUMPRODUCT(Wegingsfactoren!$D291:$D393,Volumes!L20:L122)</f>
        <v>29412494.152705643</v>
      </c>
      <c r="M6" s="28">
        <f>SUM(E6:L6)</f>
        <v>1959765282.7938478</v>
      </c>
      <c r="N6" s="80"/>
    </row>
    <row r="7" spans="2:14" s="27" customFormat="1" ht="11.25">
      <c r="B7" s="67" t="s">
        <v>227</v>
      </c>
      <c r="C7" s="67"/>
      <c r="D7" s="67"/>
      <c r="E7" s="28">
        <f>SUMPRODUCT(Wegingsfactoren!$D397:$D404,Volumes!E126:E133)</f>
        <v>1223551.057684789</v>
      </c>
      <c r="F7" s="28">
        <f>SUMPRODUCT(Wegingsfactoren!$D397:$D404,Volumes!F126:F133)</f>
        <v>5039994.962615429</v>
      </c>
      <c r="G7" s="28">
        <f>SUMPRODUCT(Wegingsfactoren!$D397:$D404,Volumes!G126:G133)</f>
        <v>2658166.673536145</v>
      </c>
      <c r="H7" s="28">
        <f>SUMPRODUCT(Wegingsfactoren!$D397:$D404,Volumes!H126:H133)</f>
        <v>65416605.46323051</v>
      </c>
      <c r="I7" s="28">
        <f>SUMPRODUCT(Wegingsfactoren!$D397:$D404,Volumes!I126:I133)</f>
        <v>69947514.60791694</v>
      </c>
      <c r="J7" s="28">
        <f>SUMPRODUCT(Wegingsfactoren!$D397:$D404,Volumes!J126:J133)</f>
        <v>755627.2247752984</v>
      </c>
      <c r="K7" s="28">
        <f>SUMPRODUCT(Wegingsfactoren!$D397:$D404,Volumes!K126:K133)</f>
        <v>46401824.86114065</v>
      </c>
      <c r="L7" s="28">
        <f>SUMPRODUCT(Wegingsfactoren!$D397:$D404,Volumes!L126:L133)</f>
        <v>1515452.232175331</v>
      </c>
      <c r="M7" s="28">
        <f>SUM(E7:L7)</f>
        <v>192958737.08307508</v>
      </c>
      <c r="N7" s="80"/>
    </row>
    <row r="8" spans="2:14" s="27" customFormat="1" ht="11.25">
      <c r="B8" s="67" t="s">
        <v>229</v>
      </c>
      <c r="C8" s="67"/>
      <c r="D8" s="67"/>
      <c r="E8" s="99"/>
      <c r="F8" s="99"/>
      <c r="G8" s="99"/>
      <c r="H8" s="99"/>
      <c r="I8" s="99"/>
      <c r="J8" s="99"/>
      <c r="K8" s="99"/>
      <c r="L8" s="99"/>
      <c r="M8" s="99"/>
      <c r="N8" s="80"/>
    </row>
    <row r="9" spans="2:14" s="27" customFormat="1" ht="11.25">
      <c r="B9" s="66" t="s">
        <v>231</v>
      </c>
      <c r="C9" s="66"/>
      <c r="D9" s="66"/>
      <c r="E9" s="99"/>
      <c r="F9" s="99"/>
      <c r="G9" s="99"/>
      <c r="H9" s="99"/>
      <c r="I9" s="99"/>
      <c r="J9" s="99"/>
      <c r="K9" s="99"/>
      <c r="L9" s="99"/>
      <c r="M9" s="99"/>
      <c r="N9" s="80"/>
    </row>
    <row r="10" ht="12.75">
      <c r="M10" s="24"/>
    </row>
    <row r="11" spans="2:14" ht="12.75">
      <c r="B11" s="30" t="s">
        <v>182</v>
      </c>
      <c r="C11" s="30"/>
      <c r="D11" s="30"/>
      <c r="E11" s="29">
        <f aca="true" t="shared" si="0" ref="E11:L11">SUM(E6:E9)</f>
        <v>13442381.358150914</v>
      </c>
      <c r="F11" s="29">
        <f t="shared" si="0"/>
        <v>64800082.5308975</v>
      </c>
      <c r="G11" s="29">
        <f t="shared" si="0"/>
        <v>27917656.02801154</v>
      </c>
      <c r="H11" s="29">
        <f t="shared" si="0"/>
        <v>726877787.1520673</v>
      </c>
      <c r="I11" s="29">
        <f t="shared" si="0"/>
        <v>750790269.4021095</v>
      </c>
      <c r="J11" s="29">
        <f t="shared" si="0"/>
        <v>8288892.5516019715</v>
      </c>
      <c r="K11" s="29">
        <f t="shared" si="0"/>
        <v>529679004.4692032</v>
      </c>
      <c r="L11" s="29">
        <f t="shared" si="0"/>
        <v>30927946.384880975</v>
      </c>
      <c r="M11" s="153">
        <f>SUM(E11:L11)</f>
        <v>2152724019.8769226</v>
      </c>
      <c r="N11" s="82"/>
    </row>
    <row r="12" ht="12.75"/>
    <row r="13" spans="2:4" s="5" customFormat="1" ht="12.75">
      <c r="B13" s="6">
        <v>2007</v>
      </c>
      <c r="C13" s="6"/>
      <c r="D13" s="6"/>
    </row>
    <row r="14" spans="13:14" s="26" customFormat="1" ht="12.75">
      <c r="M14" s="84"/>
      <c r="N14" s="84"/>
    </row>
    <row r="15" spans="2:14" s="27" customFormat="1" ht="11.25">
      <c r="B15" s="64" t="s">
        <v>233</v>
      </c>
      <c r="C15" s="64"/>
      <c r="D15" s="64"/>
      <c r="E15" s="28">
        <f>SUMPRODUCT(Wegingsfactoren!$D291:$D393,Volumes!E141:E243)</f>
        <v>12383020.931662641</v>
      </c>
      <c r="F15" s="28">
        <f>SUMPRODUCT(Wegingsfactoren!$D291:$D393,Volumes!F141:F243)</f>
        <v>59749865.43885255</v>
      </c>
      <c r="G15" s="28">
        <f>SUMPRODUCT(Wegingsfactoren!$D291:$D393,Volumes!G141:G243)</f>
        <v>24835530.849607263</v>
      </c>
      <c r="H15" s="28">
        <f>SUMPRODUCT(Wegingsfactoren!$D291:$D393,Volumes!H141:H243)</f>
        <v>675723829.9917868</v>
      </c>
      <c r="I15" s="28">
        <f>SUMPRODUCT(Wegingsfactoren!$D291:$D393,Volumes!I141:I243)</f>
        <v>687251806.6291066</v>
      </c>
      <c r="J15" s="28">
        <f>SUMPRODUCT(Wegingsfactoren!$D291:$D393,Volumes!J141:J243)</f>
        <v>7443391.776312181</v>
      </c>
      <c r="K15" s="28">
        <f>SUMPRODUCT(Wegingsfactoren!$D291:$D393,Volumes!K141:K243)</f>
        <v>488628961.45357007</v>
      </c>
      <c r="L15" s="28">
        <f>SUMPRODUCT(Wegingsfactoren!$D291:$D393,Volumes!L141:L243)</f>
        <v>30316681.054052033</v>
      </c>
      <c r="M15" s="28">
        <f>SUM(E15:L15)</f>
        <v>1986333088.1249502</v>
      </c>
      <c r="N15" s="80"/>
    </row>
    <row r="16" spans="2:14" s="27" customFormat="1" ht="11.25">
      <c r="B16" s="67" t="s">
        <v>227</v>
      </c>
      <c r="C16" s="67"/>
      <c r="D16" s="67"/>
      <c r="E16" s="28">
        <f>SUMPRODUCT(Wegingsfactoren!$D397:$D404,Volumes!E247:E254)</f>
        <v>1233245.5283978411</v>
      </c>
      <c r="F16" s="28">
        <f>SUMPRODUCT(Wegingsfactoren!$D397:$D404,Volumes!F247:F254)</f>
        <v>5092838.828674738</v>
      </c>
      <c r="G16" s="28">
        <f>SUMPRODUCT(Wegingsfactoren!$D397:$D404,Volumes!G247:G254)</f>
        <v>2725333.120508552</v>
      </c>
      <c r="H16" s="28">
        <f>SUMPRODUCT(Wegingsfactoren!$D397:$D404,Volumes!H247:H254)</f>
        <v>66777491.65923679</v>
      </c>
      <c r="I16" s="28">
        <f>SUMPRODUCT(Wegingsfactoren!$D397:$D404,Volumes!I247:I254)</f>
        <v>65991658.28259527</v>
      </c>
      <c r="J16" s="28">
        <f>SUMPRODUCT(Wegingsfactoren!$D397:$D404,Volumes!J247:J254)</f>
        <v>762211.8059957086</v>
      </c>
      <c r="K16" s="28">
        <f>SUMPRODUCT(Wegingsfactoren!$D397:$D404,Volumes!K247:K254)</f>
        <v>47602881.0828178</v>
      </c>
      <c r="L16" s="28">
        <f>SUMPRODUCT(Wegingsfactoren!$D397:$D404,Volumes!L247:L254)</f>
        <v>1505531.891454272</v>
      </c>
      <c r="M16" s="28">
        <f>SUM(E16:L16)</f>
        <v>191691192.19968095</v>
      </c>
      <c r="N16" s="80"/>
    </row>
    <row r="17" spans="2:14" s="27" customFormat="1" ht="11.25">
      <c r="B17" s="67" t="s">
        <v>229</v>
      </c>
      <c r="C17" s="67"/>
      <c r="D17" s="67"/>
      <c r="E17" s="99"/>
      <c r="F17" s="99"/>
      <c r="G17" s="99"/>
      <c r="H17" s="99"/>
      <c r="I17" s="99"/>
      <c r="J17" s="99"/>
      <c r="K17" s="99"/>
      <c r="L17" s="99"/>
      <c r="M17" s="99"/>
      <c r="N17" s="80"/>
    </row>
    <row r="18" spans="2:14" s="27" customFormat="1" ht="11.25">
      <c r="B18" s="66" t="s">
        <v>231</v>
      </c>
      <c r="C18" s="66"/>
      <c r="D18" s="66"/>
      <c r="E18" s="99"/>
      <c r="F18" s="99"/>
      <c r="G18" s="99"/>
      <c r="H18" s="99"/>
      <c r="I18" s="99"/>
      <c r="J18" s="99"/>
      <c r="K18" s="99"/>
      <c r="L18" s="99"/>
      <c r="M18" s="99"/>
      <c r="N18" s="80"/>
    </row>
    <row r="19" ht="12.75"/>
    <row r="20" spans="2:14" ht="12.75">
      <c r="B20" s="30" t="s">
        <v>183</v>
      </c>
      <c r="C20" s="30"/>
      <c r="D20" s="30"/>
      <c r="E20" s="29">
        <f aca="true" t="shared" si="1" ref="E20:L20">SUM(E15:E18)</f>
        <v>13616266.460060483</v>
      </c>
      <c r="F20" s="29">
        <f t="shared" si="1"/>
        <v>64842704.26752729</v>
      </c>
      <c r="G20" s="29">
        <f t="shared" si="1"/>
        <v>27560863.970115814</v>
      </c>
      <c r="H20" s="29">
        <f t="shared" si="1"/>
        <v>742501321.6510236</v>
      </c>
      <c r="I20" s="29">
        <f t="shared" si="1"/>
        <v>753243464.9117019</v>
      </c>
      <c r="J20" s="29">
        <f t="shared" si="1"/>
        <v>8205603.582307889</v>
      </c>
      <c r="K20" s="29">
        <f t="shared" si="1"/>
        <v>536231842.53638786</v>
      </c>
      <c r="L20" s="29">
        <f t="shared" si="1"/>
        <v>31822212.945506305</v>
      </c>
      <c r="M20" s="153">
        <f>SUM(E20:L20)</f>
        <v>2178024280.324631</v>
      </c>
      <c r="N20" s="82"/>
    </row>
    <row r="21" ht="12.75"/>
    <row r="22" spans="2:4" s="5" customFormat="1" ht="12.75">
      <c r="B22" s="6">
        <v>2008</v>
      </c>
      <c r="C22" s="6"/>
      <c r="D22" s="6"/>
    </row>
    <row r="23" spans="13:14" s="26" customFormat="1" ht="12.75">
      <c r="M23" s="84"/>
      <c r="N23" s="84"/>
    </row>
    <row r="24" spans="2:14" s="27" customFormat="1" ht="11.25">
      <c r="B24" s="64" t="s">
        <v>233</v>
      </c>
      <c r="C24" s="64"/>
      <c r="D24" s="64"/>
      <c r="E24" s="28">
        <f>SUMPRODUCT(Wegingsfactoren!$D291:$D393,Volumes!E262:E364)</f>
        <v>12621700.22048871</v>
      </c>
      <c r="F24" s="28">
        <f>SUMPRODUCT(Wegingsfactoren!$D291:$D393,Volumes!F262:F364)</f>
        <v>47420867.87703512</v>
      </c>
      <c r="G24" s="28">
        <f>SUMPRODUCT(Wegingsfactoren!$D291:$D393,Volumes!G262:G364)</f>
        <v>25321807.664057598</v>
      </c>
      <c r="H24" s="28">
        <f>SUMPRODUCT(Wegingsfactoren!$D291:$D393,Volumes!H262:H364)</f>
        <v>630138676.5968748</v>
      </c>
      <c r="I24" s="28">
        <f>SUMPRODUCT(Wegingsfactoren!$D291:$D393,Volumes!I262:I364)</f>
        <v>684790079.8660553</v>
      </c>
      <c r="J24" s="28">
        <f>SUMPRODUCT(Wegingsfactoren!$D291:$D393,Volumes!J262:J364)</f>
        <v>7573507.284201961</v>
      </c>
      <c r="K24" s="28">
        <f>SUMPRODUCT(Wegingsfactoren!$D291:$D393,Volumes!K262:K364)</f>
        <v>486278066.06343424</v>
      </c>
      <c r="L24" s="28">
        <f>SUMPRODUCT(Wegingsfactoren!$D291:$D393,Volumes!L262:L364)</f>
        <v>30055260.492796306</v>
      </c>
      <c r="M24" s="28">
        <f>SUM(E24:L24)</f>
        <v>1924199966.0649443</v>
      </c>
      <c r="N24" s="80"/>
    </row>
    <row r="25" spans="2:14" s="27" customFormat="1" ht="11.25">
      <c r="B25" s="67" t="s">
        <v>227</v>
      </c>
      <c r="C25" s="67"/>
      <c r="D25" s="67"/>
      <c r="E25" s="28">
        <f>SUMPRODUCT(Wegingsfactoren!$D397:$D404,Volumes!E368:E375)</f>
        <v>1246579.2646560282</v>
      </c>
      <c r="F25" s="28">
        <f>SUMPRODUCT(Wegingsfactoren!$D397:$D404,Volumes!F368:F375)</f>
        <v>5271105.937837313</v>
      </c>
      <c r="G25" s="28">
        <f>SUMPRODUCT(Wegingsfactoren!$D397:$D404,Volumes!G368:G375)</f>
        <v>2759049.020229304</v>
      </c>
      <c r="H25" s="28">
        <f>SUMPRODUCT(Wegingsfactoren!$D397:$D404,Volumes!H368:H375)</f>
        <v>67832545.6382871</v>
      </c>
      <c r="I25" s="28">
        <f>SUMPRODUCT(Wegingsfactoren!$D397:$D404,Volumes!I368:I375)</f>
        <v>67018247.81620392</v>
      </c>
      <c r="J25" s="28">
        <f>SUMPRODUCT(Wegingsfactoren!$D397:$D404,Volumes!J368:J375)</f>
        <v>766742.5458794744</v>
      </c>
      <c r="K25" s="28">
        <f>SUMPRODUCT(Wegingsfactoren!$D397:$D404,Volumes!K368:K375)</f>
        <v>48065143.81780597</v>
      </c>
      <c r="L25" s="28">
        <f>SUMPRODUCT(Wegingsfactoren!$D397:$D404,Volumes!L368:L375)</f>
        <v>1609016.0669817794</v>
      </c>
      <c r="M25" s="28">
        <f>SUM(E25:L25)</f>
        <v>194568430.10788092</v>
      </c>
      <c r="N25" s="80"/>
    </row>
    <row r="26" spans="2:14" s="27" customFormat="1" ht="11.25">
      <c r="B26" s="67" t="s">
        <v>229</v>
      </c>
      <c r="C26" s="67"/>
      <c r="D26" s="67"/>
      <c r="E26" s="99"/>
      <c r="F26" s="99"/>
      <c r="G26" s="99"/>
      <c r="H26" s="99"/>
      <c r="I26" s="99"/>
      <c r="J26" s="99"/>
      <c r="K26" s="99"/>
      <c r="L26" s="99"/>
      <c r="M26" s="99"/>
      <c r="N26" s="80"/>
    </row>
    <row r="27" spans="2:14" s="27" customFormat="1" ht="11.25">
      <c r="B27" s="66" t="s">
        <v>231</v>
      </c>
      <c r="C27" s="66"/>
      <c r="D27" s="66"/>
      <c r="E27" s="99"/>
      <c r="F27" s="99"/>
      <c r="G27" s="99"/>
      <c r="H27" s="99"/>
      <c r="I27" s="99"/>
      <c r="J27" s="99"/>
      <c r="K27" s="99"/>
      <c r="L27" s="99"/>
      <c r="M27" s="99"/>
      <c r="N27" s="80"/>
    </row>
    <row r="28" spans="5:13" ht="12.75">
      <c r="E28" s="222"/>
      <c r="F28" s="222"/>
      <c r="G28" s="222"/>
      <c r="H28" s="222"/>
      <c r="I28" s="222"/>
      <c r="J28" s="222"/>
      <c r="K28" s="222"/>
      <c r="L28" s="222"/>
      <c r="M28" s="80"/>
    </row>
    <row r="29" spans="2:14" ht="12.75">
      <c r="B29" s="30" t="s">
        <v>184</v>
      </c>
      <c r="C29" s="30"/>
      <c r="D29" s="30"/>
      <c r="E29" s="29">
        <f aca="true" t="shared" si="2" ref="E29:L29">SUM(E24:E27)</f>
        <v>13868279.485144738</v>
      </c>
      <c r="F29" s="29">
        <f t="shared" si="2"/>
        <v>52691973.81487243</v>
      </c>
      <c r="G29" s="29">
        <f t="shared" si="2"/>
        <v>28080856.6842869</v>
      </c>
      <c r="H29" s="29">
        <f t="shared" si="2"/>
        <v>697971222.2351619</v>
      </c>
      <c r="I29" s="29">
        <f t="shared" si="2"/>
        <v>751808327.6822592</v>
      </c>
      <c r="J29" s="29">
        <f t="shared" si="2"/>
        <v>8340249.830081435</v>
      </c>
      <c r="K29" s="29">
        <f t="shared" si="2"/>
        <v>534343209.8812402</v>
      </c>
      <c r="L29" s="29">
        <f t="shared" si="2"/>
        <v>31664276.559778087</v>
      </c>
      <c r="M29" s="153">
        <f>SUM(E29:L29)</f>
        <v>2118768396.1728249</v>
      </c>
      <c r="N29" s="82"/>
    </row>
    <row r="30" ht="12.75"/>
    <row r="31" spans="2:4" s="5" customFormat="1" ht="12.75">
      <c r="B31" s="6">
        <v>2009</v>
      </c>
      <c r="C31" s="6"/>
      <c r="D31" s="6"/>
    </row>
    <row r="32" spans="13:14" s="26" customFormat="1" ht="12.75">
      <c r="M32" s="84"/>
      <c r="N32" s="84"/>
    </row>
    <row r="33" spans="2:14" s="27" customFormat="1" ht="11.25">
      <c r="B33" s="64" t="s">
        <v>233</v>
      </c>
      <c r="C33" s="64"/>
      <c r="D33" s="64"/>
      <c r="E33" s="28">
        <f>SUMPRODUCT(Wegingsfactoren!$D291:$D393,Volumes!E383:E485)</f>
        <v>12580721.961390499</v>
      </c>
      <c r="F33" s="28">
        <f>SUMPRODUCT(Wegingsfactoren!$D291:$D393,Volumes!F383:F485)</f>
        <v>48925513.95655239</v>
      </c>
      <c r="G33" s="28">
        <f>SUMPRODUCT(Wegingsfactoren!$D291:$D393,Volumes!G383:G485)</f>
        <v>25393399.80722624</v>
      </c>
      <c r="H33" s="28">
        <f>SUMPRODUCT(Wegingsfactoren!$D291:$D393,Volumes!H383:H485)</f>
        <v>668840988.4891155</v>
      </c>
      <c r="I33" s="28">
        <f>SUMPRODUCT(Wegingsfactoren!$D291:$D393,Volumes!I383:I485)</f>
        <v>686440051.7459608</v>
      </c>
      <c r="J33" s="28">
        <f>SUMPRODUCT(Wegingsfactoren!$D291:$D393,Volumes!J383:J485)</f>
        <v>7680947.866881303</v>
      </c>
      <c r="K33" s="28">
        <f>SUMPRODUCT(Wegingsfactoren!$D291:$D393,Volumes!K383:K485)</f>
        <v>482909231.7895344</v>
      </c>
      <c r="L33" s="28">
        <f>SUMPRODUCT(Wegingsfactoren!$D291:$D393,Volumes!L383:L485)</f>
        <v>29286523.778485943</v>
      </c>
      <c r="M33" s="28">
        <f>SUM(E33:L33)</f>
        <v>1962057379.3951473</v>
      </c>
      <c r="N33" s="80"/>
    </row>
    <row r="34" spans="2:14" s="27" customFormat="1" ht="11.25">
      <c r="B34" s="67" t="s">
        <v>227</v>
      </c>
      <c r="C34" s="67"/>
      <c r="D34" s="67"/>
      <c r="E34" s="28">
        <f>SUMPRODUCT(Wegingsfactoren!$D397:$D404,Volumes!E489:E496)</f>
        <v>1258395.3310200612</v>
      </c>
      <c r="F34" s="28">
        <f>SUMPRODUCT(Wegingsfactoren!$D397:$D404,Volumes!F489:F496)</f>
        <v>5359238.166711903</v>
      </c>
      <c r="G34" s="28">
        <f>SUMPRODUCT(Wegingsfactoren!$D397:$D404,Volumes!G489:G496)</f>
        <v>2781635.8228084384</v>
      </c>
      <c r="H34" s="28">
        <f>SUMPRODUCT(Wegingsfactoren!$D397:$D404,Volumes!H489:H496)</f>
        <v>70281175.52844954</v>
      </c>
      <c r="I34" s="28">
        <f>SUMPRODUCT(Wegingsfactoren!$D397:$D404,Volumes!I489:I496)</f>
        <v>67994916.42350358</v>
      </c>
      <c r="J34" s="28">
        <f>SUMPRODUCT(Wegingsfactoren!$D397:$D404,Volumes!J489:J496)</f>
        <v>777831.7389340284</v>
      </c>
      <c r="K34" s="28">
        <f>SUMPRODUCT(Wegingsfactoren!$D397:$D404,Volumes!K489:K496)</f>
        <v>47330350.88260017</v>
      </c>
      <c r="L34" s="28">
        <f>SUMPRODUCT(Wegingsfactoren!$D397:$D404,Volumes!L489:L496)</f>
        <v>1674733.00075285</v>
      </c>
      <c r="M34" s="28">
        <f>SUM(E34:L34)</f>
        <v>197458276.89478055</v>
      </c>
      <c r="N34" s="80"/>
    </row>
    <row r="35" spans="2:14" s="27" customFormat="1" ht="11.25">
      <c r="B35" s="67" t="s">
        <v>229</v>
      </c>
      <c r="C35" s="67"/>
      <c r="D35" s="67"/>
      <c r="E35" s="28">
        <f>SUMPRODUCT(Wegingsfactoren!$D409:$D420+Wegingsfactoren!E409:E420,Volumes!E501:E512)</f>
        <v>860970.7939192125</v>
      </c>
      <c r="F35" s="28">
        <f>SUMPRODUCT(Wegingsfactoren!$D409:$D420+Wegingsfactoren!F409:F420,Volumes!F501:F512)</f>
        <v>5185583.514546679</v>
      </c>
      <c r="G35" s="28">
        <f>SUMPRODUCT(Wegingsfactoren!$D409:$D420+Wegingsfactoren!G409:G420,Volumes!G501:G512)</f>
        <v>1783222.4759811182</v>
      </c>
      <c r="H35" s="28">
        <f>SUMPRODUCT(Wegingsfactoren!$D409:$D420+Wegingsfactoren!H409:H420,Volumes!H501:H512)</f>
        <v>57182619.40231185</v>
      </c>
      <c r="I35" s="28">
        <f>SUMPRODUCT(Wegingsfactoren!$D409:$D420+Wegingsfactoren!I409:I420,Volumes!I501:I512)</f>
        <v>45851346.552514315</v>
      </c>
      <c r="J35" s="28">
        <f>SUMPRODUCT(Wegingsfactoren!$D409:$D420+Wegingsfactoren!J409:J420,Volumes!J501:J512)</f>
        <v>440677.669793088</v>
      </c>
      <c r="K35" s="28">
        <f>SUMPRODUCT(Wegingsfactoren!$D409:$D420+Wegingsfactoren!K409:K420,Volumes!K501:K512)</f>
        <v>47643828.508041956</v>
      </c>
      <c r="L35" s="28">
        <f>SUMPRODUCT(Wegingsfactoren!$D409:$D420+Wegingsfactoren!L409:L420,Volumes!L501:L512)</f>
        <v>2772742.2532760473</v>
      </c>
      <c r="M35" s="28">
        <f>SUM(E35:L35)</f>
        <v>161720991.17038426</v>
      </c>
      <c r="N35" s="80"/>
    </row>
    <row r="36" spans="2:14" s="27" customFormat="1" ht="11.25">
      <c r="B36" s="66" t="s">
        <v>231</v>
      </c>
      <c r="C36" s="66"/>
      <c r="D36" s="66"/>
      <c r="E36" s="658"/>
      <c r="F36" s="658"/>
      <c r="G36" s="658"/>
      <c r="H36" s="658"/>
      <c r="I36" s="658"/>
      <c r="J36" s="658"/>
      <c r="K36" s="658"/>
      <c r="L36" s="658"/>
      <c r="M36" s="658"/>
      <c r="N36" s="80"/>
    </row>
    <row r="37" ht="12.75">
      <c r="M37" s="24"/>
    </row>
    <row r="38" spans="2:14" ht="12.75">
      <c r="B38" s="30" t="s">
        <v>185</v>
      </c>
      <c r="C38" s="30"/>
      <c r="D38" s="30"/>
      <c r="E38" s="29">
        <f aca="true" t="shared" si="3" ref="E38:L38">SUM(E33:E36)</f>
        <v>14700088.086329773</v>
      </c>
      <c r="F38" s="29">
        <f t="shared" si="3"/>
        <v>59470335.63781097</v>
      </c>
      <c r="G38" s="29">
        <f t="shared" si="3"/>
        <v>29958258.106015794</v>
      </c>
      <c r="H38" s="29">
        <f t="shared" si="3"/>
        <v>796304783.4198768</v>
      </c>
      <c r="I38" s="29">
        <f t="shared" si="3"/>
        <v>800286314.7219787</v>
      </c>
      <c r="J38" s="29">
        <f t="shared" si="3"/>
        <v>8899457.275608419</v>
      </c>
      <c r="K38" s="29">
        <f t="shared" si="3"/>
        <v>577883411.1801765</v>
      </c>
      <c r="L38" s="29">
        <f t="shared" si="3"/>
        <v>33733999.03251484</v>
      </c>
      <c r="M38" s="153">
        <f>SUM(E38:L38)</f>
        <v>2321236647.460312</v>
      </c>
      <c r="N38" s="82"/>
    </row>
    <row r="39" ht="12.75"/>
    <row r="40" spans="2:4" s="5" customFormat="1" ht="12.75">
      <c r="B40" s="6" t="s">
        <v>46</v>
      </c>
      <c r="C40" s="6"/>
      <c r="D40" s="6"/>
    </row>
    <row r="41" spans="13:14" s="26" customFormat="1" ht="12.75">
      <c r="M41" s="84"/>
      <c r="N41" s="84"/>
    </row>
    <row r="42" spans="2:14" s="27" customFormat="1" ht="11.25">
      <c r="B42" s="64" t="s">
        <v>233</v>
      </c>
      <c r="C42" s="64"/>
      <c r="D42" s="64"/>
      <c r="E42" s="28">
        <f>SUMPRODUCT(Wegingsfactoren!$D291:$D393,Rekenvolumes!E132:E234)</f>
        <v>12580721.961390499</v>
      </c>
      <c r="F42" s="28">
        <f>SUMPRODUCT(Wegingsfactoren!$D291:$D393,Rekenvolumes!F132:F234)</f>
        <v>48925513.95655239</v>
      </c>
      <c r="G42" s="28">
        <f>SUMPRODUCT(Wegingsfactoren!$D291:$D393,Rekenvolumes!G132:G234)</f>
        <v>25393399.80722624</v>
      </c>
      <c r="H42" s="28">
        <f>SUMPRODUCT(Wegingsfactoren!$D291:$D393,Rekenvolumes!H132:H234)</f>
        <v>668840988.4891155</v>
      </c>
      <c r="I42" s="28">
        <f>SUMPRODUCT(Wegingsfactoren!$D291:$D393,Rekenvolumes!I132:I234)</f>
        <v>686440051.7459608</v>
      </c>
      <c r="J42" s="28">
        <f>SUMPRODUCT(Wegingsfactoren!$D291:$D393,Rekenvolumes!J132:J234)</f>
        <v>7680947.866881303</v>
      </c>
      <c r="K42" s="28">
        <f>SUMPRODUCT(Wegingsfactoren!$D291:$D393,Rekenvolumes!K132:K234)</f>
        <v>482909231.7895344</v>
      </c>
      <c r="L42" s="28">
        <f>SUMPRODUCT(Wegingsfactoren!$D291:$D393,Rekenvolumes!L132:L234)</f>
        <v>29286523.778485943</v>
      </c>
      <c r="M42" s="28">
        <f>SUM(E42:L42)</f>
        <v>1962057379.3951473</v>
      </c>
      <c r="N42" s="80"/>
    </row>
    <row r="43" spans="2:14" s="27" customFormat="1" ht="11.25">
      <c r="B43" s="67" t="s">
        <v>227</v>
      </c>
      <c r="C43" s="67"/>
      <c r="D43" s="67"/>
      <c r="E43" s="28">
        <f>SUMPRODUCT(Wegingsfactoren!$D397:$D404,Rekenvolumes!E238:E245)</f>
        <v>1258395.3310200612</v>
      </c>
      <c r="F43" s="28">
        <f>SUMPRODUCT(Wegingsfactoren!$D397:$D404,Rekenvolumes!F238:F245)</f>
        <v>5359238.166711903</v>
      </c>
      <c r="G43" s="28">
        <f>SUMPRODUCT(Wegingsfactoren!$D397:$D404,Rekenvolumes!G238:G245)</f>
        <v>2781635.8228084384</v>
      </c>
      <c r="H43" s="28">
        <f>SUMPRODUCT(Wegingsfactoren!$D397:$D404,Rekenvolumes!H238:H245)</f>
        <v>70281175.52844954</v>
      </c>
      <c r="I43" s="28">
        <f>SUMPRODUCT(Wegingsfactoren!$D397:$D404,Rekenvolumes!I238:I245)</f>
        <v>67994916.42350358</v>
      </c>
      <c r="J43" s="28">
        <f>SUMPRODUCT(Wegingsfactoren!$D397:$D404,Rekenvolumes!J238:J245)</f>
        <v>777831.7389340284</v>
      </c>
      <c r="K43" s="28">
        <f>SUMPRODUCT(Wegingsfactoren!$D397:$D404,Rekenvolumes!K238:K245)</f>
        <v>47330350.88260017</v>
      </c>
      <c r="L43" s="28">
        <f>SUMPRODUCT(Wegingsfactoren!$D397:$D404,Rekenvolumes!L238:L245)</f>
        <v>1674733.00075285</v>
      </c>
      <c r="M43" s="28">
        <f>SUM(E43:L43)</f>
        <v>197458276.89478055</v>
      </c>
      <c r="N43" s="80"/>
    </row>
    <row r="44" spans="2:14" s="27" customFormat="1" ht="11.25">
      <c r="B44" s="67" t="s">
        <v>229</v>
      </c>
      <c r="C44" s="67"/>
      <c r="D44" s="67"/>
      <c r="E44" s="28">
        <f>SUMPRODUCT(Wegingsfactoren!$D409:$D420+Wegingsfactoren!E409:E420,Volumes!E501:E512)</f>
        <v>860970.7939192125</v>
      </c>
      <c r="F44" s="28">
        <f>SUMPRODUCT(Wegingsfactoren!$D409:$D420+Wegingsfactoren!F409:F420,Volumes!F501:F512)</f>
        <v>5185583.514546679</v>
      </c>
      <c r="G44" s="28">
        <f>SUMPRODUCT(Wegingsfactoren!$D409:$D420+Wegingsfactoren!G409:G420,Volumes!G501:G512)</f>
        <v>1783222.4759811182</v>
      </c>
      <c r="H44" s="28">
        <f>SUMPRODUCT(Wegingsfactoren!$D409:$D420+Wegingsfactoren!H409:H420,Volumes!H501:H512)</f>
        <v>57182619.40231185</v>
      </c>
      <c r="I44" s="28">
        <f>SUMPRODUCT(Wegingsfactoren!$D409:$D420+Wegingsfactoren!I409:I420,Volumes!I501:I512)</f>
        <v>45851346.552514315</v>
      </c>
      <c r="J44" s="28">
        <f>SUMPRODUCT(Wegingsfactoren!$D409:$D420+Wegingsfactoren!J409:J420,Volumes!J501:J512)</f>
        <v>440677.669793088</v>
      </c>
      <c r="K44" s="28">
        <f>SUMPRODUCT(Wegingsfactoren!$D409:$D420+Wegingsfactoren!K409:K420,Volumes!K501:K512)</f>
        <v>47643828.508041956</v>
      </c>
      <c r="L44" s="28">
        <f>SUMPRODUCT(Wegingsfactoren!$D409:$D420+Wegingsfactoren!L409:L420,Volumes!L501:L512)</f>
        <v>2772742.2532760473</v>
      </c>
      <c r="M44" s="28">
        <f>SUM(E44:L44)</f>
        <v>161720991.17038426</v>
      </c>
      <c r="N44" s="80"/>
    </row>
    <row r="45" spans="2:14" s="27" customFormat="1" ht="11.25">
      <c r="B45" s="66" t="s">
        <v>231</v>
      </c>
      <c r="C45" s="66"/>
      <c r="D45" s="66"/>
      <c r="E45" s="658"/>
      <c r="F45" s="658"/>
      <c r="G45" s="658"/>
      <c r="H45" s="658"/>
      <c r="I45" s="658"/>
      <c r="J45" s="658"/>
      <c r="K45" s="658"/>
      <c r="L45" s="658"/>
      <c r="M45" s="658"/>
      <c r="N45" s="80"/>
    </row>
    <row r="46" ht="12.75">
      <c r="M46" s="24"/>
    </row>
    <row r="47" spans="2:14" ht="12.75">
      <c r="B47" s="30" t="s">
        <v>254</v>
      </c>
      <c r="C47" s="30"/>
      <c r="D47" s="30"/>
      <c r="E47" s="29">
        <f aca="true" t="shared" si="4" ref="E47:L47">SUM(E42:E45)</f>
        <v>14700088.086329773</v>
      </c>
      <c r="F47" s="29">
        <f t="shared" si="4"/>
        <v>59470335.63781097</v>
      </c>
      <c r="G47" s="29">
        <f t="shared" si="4"/>
        <v>29958258.106015794</v>
      </c>
      <c r="H47" s="29">
        <f t="shared" si="4"/>
        <v>796304783.4198768</v>
      </c>
      <c r="I47" s="29">
        <f t="shared" si="4"/>
        <v>800286314.7219787</v>
      </c>
      <c r="J47" s="29">
        <f t="shared" si="4"/>
        <v>8899457.275608419</v>
      </c>
      <c r="K47" s="29">
        <f t="shared" si="4"/>
        <v>577883411.1801765</v>
      </c>
      <c r="L47" s="29">
        <f t="shared" si="4"/>
        <v>33733999.03251484</v>
      </c>
      <c r="M47" s="153">
        <f>SUM(E47:L47)</f>
        <v>2321236647.460312</v>
      </c>
      <c r="N47" s="82"/>
    </row>
    <row r="48" ht="12.75"/>
    <row r="50" spans="4:13" ht="12.75">
      <c r="D50" s="30"/>
      <c r="E50" s="693">
        <f>E47/$M$47</f>
        <v>0.006332869206771005</v>
      </c>
      <c r="F50" s="693">
        <f aca="true" t="shared" si="5" ref="F50:L50">F47/$M$47</f>
        <v>0.025620108877256464</v>
      </c>
      <c r="G50" s="693">
        <f t="shared" si="5"/>
        <v>0.012906162815753155</v>
      </c>
      <c r="H50" s="693">
        <f t="shared" si="5"/>
        <v>0.3430519608119757</v>
      </c>
      <c r="I50" s="693">
        <f t="shared" si="5"/>
        <v>0.34476722379753044</v>
      </c>
      <c r="J50" s="693">
        <f t="shared" si="5"/>
        <v>0.003833929334755852</v>
      </c>
      <c r="K50" s="693">
        <f t="shared" si="5"/>
        <v>0.24895497484603496</v>
      </c>
      <c r="L50" s="693">
        <f t="shared" si="5"/>
        <v>0.014532770309922319</v>
      </c>
      <c r="M50" s="155"/>
    </row>
    <row r="51" spans="4:13" ht="12.75">
      <c r="D51" s="30"/>
      <c r="E51" s="155"/>
      <c r="F51" s="155"/>
      <c r="G51" s="155"/>
      <c r="H51" s="155"/>
      <c r="I51" s="155"/>
      <c r="J51" s="155"/>
      <c r="K51" s="155"/>
      <c r="L51" s="155"/>
      <c r="M51" s="155"/>
    </row>
    <row r="52" spans="5:13" ht="12.75">
      <c r="E52" s="156"/>
      <c r="F52" s="156"/>
      <c r="G52" s="156"/>
      <c r="H52" s="156"/>
      <c r="I52" s="156"/>
      <c r="J52" s="156"/>
      <c r="K52" s="156"/>
      <c r="L52" s="156"/>
      <c r="M52" s="156"/>
    </row>
    <row r="53" spans="5:12" ht="12.75">
      <c r="E53" s="156"/>
      <c r="F53" s="156"/>
      <c r="G53" s="156"/>
      <c r="H53" s="156"/>
      <c r="I53" s="156"/>
      <c r="J53" s="156"/>
      <c r="K53" s="156"/>
      <c r="L53" s="156"/>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Blad8"/>
  <dimension ref="B1:Q530"/>
  <sheetViews>
    <sheetView showGridLines="0" zoomScale="85" zoomScaleNormal="85" workbookViewId="0" topLeftCell="A1">
      <pane xSplit="4" ySplit="2" topLeftCell="E27" activePane="bottomRight" state="frozen"/>
      <selection pane="topLeft" activeCell="G36" sqref="G36"/>
      <selection pane="topRight" activeCell="G36" sqref="G36"/>
      <selection pane="bottomLeft" activeCell="G36" sqref="G36"/>
      <selection pane="bottomRight" activeCell="A1" sqref="A1"/>
    </sheetView>
  </sheetViews>
  <sheetFormatPr defaultColWidth="9.140625" defaultRowHeight="12.75" outlineLevelRow="1"/>
  <cols>
    <col min="1" max="1" width="2.7109375" style="62" customWidth="1"/>
    <col min="2" max="2" width="57.421875" style="173" customWidth="1"/>
    <col min="3" max="3" width="6.7109375" style="62" customWidth="1"/>
    <col min="4" max="4" width="11.140625" style="62" customWidth="1"/>
    <col min="5" max="5" width="14.8515625" style="62" customWidth="1"/>
    <col min="6" max="7" width="13.28125" style="62" bestFit="1" customWidth="1"/>
    <col min="8" max="8" width="14.57421875" style="62" bestFit="1" customWidth="1"/>
    <col min="9" max="9" width="12.7109375" style="62" bestFit="1" customWidth="1"/>
    <col min="10" max="11" width="14.57421875" style="62" bestFit="1" customWidth="1"/>
    <col min="12" max="12" width="13.28125" style="62" bestFit="1" customWidth="1"/>
    <col min="13" max="13" width="3.28125" style="63" customWidth="1"/>
    <col min="14" max="16384" width="9.140625" style="62" customWidth="1"/>
  </cols>
  <sheetData>
    <row r="1" ht="12.75">
      <c r="C1" s="173"/>
    </row>
    <row r="2" spans="2:13" s="58" customFormat="1" ht="60">
      <c r="B2" s="57" t="s">
        <v>127</v>
      </c>
      <c r="C2" s="57"/>
      <c r="D2" s="57"/>
      <c r="E2" s="4" t="s">
        <v>139</v>
      </c>
      <c r="F2" s="4" t="s">
        <v>58</v>
      </c>
      <c r="G2" s="4" t="s">
        <v>388</v>
      </c>
      <c r="H2" s="4" t="s">
        <v>141</v>
      </c>
      <c r="I2" s="4" t="s">
        <v>142</v>
      </c>
      <c r="J2" s="4" t="s">
        <v>143</v>
      </c>
      <c r="K2" s="4" t="s">
        <v>140</v>
      </c>
      <c r="L2" s="4" t="s">
        <v>59</v>
      </c>
      <c r="M2" s="4"/>
    </row>
    <row r="3" ht="12.75">
      <c r="C3" s="173"/>
    </row>
    <row r="4" spans="2:3" s="60" customFormat="1" ht="12.75">
      <c r="B4" s="59" t="s">
        <v>186</v>
      </c>
      <c r="C4" s="59"/>
    </row>
    <row r="5" spans="2:3" ht="12.75">
      <c r="B5" s="79"/>
      <c r="C5" s="79"/>
    </row>
    <row r="6" spans="2:12" ht="12.75" outlineLevel="1">
      <c r="B6" s="279" t="s">
        <v>504</v>
      </c>
      <c r="C6" s="167"/>
      <c r="E6" s="165"/>
      <c r="F6" s="165"/>
      <c r="G6" s="165"/>
      <c r="H6" s="165"/>
      <c r="I6" s="165"/>
      <c r="J6" s="165"/>
      <c r="K6" s="165"/>
      <c r="L6" s="165"/>
    </row>
    <row r="7" spans="2:12" ht="12.75" outlineLevel="1">
      <c r="B7" s="43"/>
      <c r="C7" s="167"/>
      <c r="E7" s="165"/>
      <c r="F7" s="165"/>
      <c r="G7" s="165"/>
      <c r="H7" s="165"/>
      <c r="I7" s="165"/>
      <c r="J7" s="165"/>
      <c r="K7" s="165"/>
      <c r="L7" s="165"/>
    </row>
    <row r="8" spans="2:12" ht="12.75" outlineLevel="1">
      <c r="B8" s="172" t="s">
        <v>198</v>
      </c>
      <c r="C8" s="167"/>
      <c r="E8" s="165"/>
      <c r="F8" s="165"/>
      <c r="G8" s="165"/>
      <c r="H8" s="165"/>
      <c r="I8" s="165"/>
      <c r="J8" s="165"/>
      <c r="K8" s="165"/>
      <c r="L8" s="165"/>
    </row>
    <row r="9" spans="2:12" ht="12.75" outlineLevel="1">
      <c r="B9" s="170" t="s">
        <v>199</v>
      </c>
      <c r="C9" s="167" t="s">
        <v>63</v>
      </c>
      <c r="E9" s="163">
        <v>0</v>
      </c>
      <c r="F9" s="163">
        <v>0</v>
      </c>
      <c r="G9" s="163">
        <v>0</v>
      </c>
      <c r="H9" s="163">
        <v>0</v>
      </c>
      <c r="I9" s="163">
        <v>2760</v>
      </c>
      <c r="J9" s="163">
        <v>0</v>
      </c>
      <c r="K9" s="163">
        <v>2760</v>
      </c>
      <c r="L9" s="163">
        <v>0</v>
      </c>
    </row>
    <row r="10" spans="2:12" ht="12.75" outlineLevel="1">
      <c r="B10" s="170" t="s">
        <v>200</v>
      </c>
      <c r="C10" s="167" t="s">
        <v>63</v>
      </c>
      <c r="E10" s="163">
        <v>0</v>
      </c>
      <c r="F10" s="163">
        <v>0</v>
      </c>
      <c r="G10" s="163">
        <v>0</v>
      </c>
      <c r="H10" s="163">
        <v>0</v>
      </c>
      <c r="I10" s="163">
        <v>6.84</v>
      </c>
      <c r="J10" s="163">
        <v>0</v>
      </c>
      <c r="K10" s="163">
        <v>8.52</v>
      </c>
      <c r="L10" s="163">
        <v>0</v>
      </c>
    </row>
    <row r="11" spans="2:12" ht="12.75" outlineLevel="1">
      <c r="B11" s="170" t="s">
        <v>201</v>
      </c>
      <c r="C11" s="167" t="s">
        <v>63</v>
      </c>
      <c r="E11" s="163">
        <v>0</v>
      </c>
      <c r="F11" s="163">
        <v>0</v>
      </c>
      <c r="G11" s="163">
        <v>0</v>
      </c>
      <c r="H11" s="163">
        <v>0</v>
      </c>
      <c r="I11" s="163">
        <v>0.63</v>
      </c>
      <c r="J11" s="163">
        <v>0</v>
      </c>
      <c r="K11" s="163">
        <v>0.85</v>
      </c>
      <c r="L11" s="163">
        <v>0</v>
      </c>
    </row>
    <row r="12" spans="2:12" ht="12.75" outlineLevel="1">
      <c r="B12" s="170" t="s">
        <v>203</v>
      </c>
      <c r="C12" s="167" t="s">
        <v>63</v>
      </c>
      <c r="E12" s="163">
        <v>0</v>
      </c>
      <c r="F12" s="163">
        <v>0</v>
      </c>
      <c r="G12" s="163">
        <v>0</v>
      </c>
      <c r="H12" s="163">
        <v>0</v>
      </c>
      <c r="I12" s="163">
        <v>0</v>
      </c>
      <c r="J12" s="163">
        <v>0</v>
      </c>
      <c r="K12" s="163">
        <v>0</v>
      </c>
      <c r="L12" s="163">
        <v>0</v>
      </c>
    </row>
    <row r="13" spans="2:12" ht="12.75" outlineLevel="1">
      <c r="B13" s="170" t="s">
        <v>247</v>
      </c>
      <c r="C13" s="167"/>
      <c r="E13" s="164"/>
      <c r="F13" s="164"/>
      <c r="G13" s="164"/>
      <c r="H13" s="164"/>
      <c r="I13" s="164"/>
      <c r="J13" s="164"/>
      <c r="K13" s="164"/>
      <c r="L13" s="164"/>
    </row>
    <row r="14" spans="2:12" ht="12.75" outlineLevel="1">
      <c r="B14" s="172" t="s">
        <v>204</v>
      </c>
      <c r="C14" s="167"/>
      <c r="E14" s="164"/>
      <c r="F14" s="164"/>
      <c r="G14" s="164"/>
      <c r="H14" s="164"/>
      <c r="I14" s="164"/>
      <c r="J14" s="164"/>
      <c r="K14" s="164"/>
      <c r="L14" s="164"/>
    </row>
    <row r="15" spans="2:12" ht="12.75" outlineLevel="1">
      <c r="B15" s="170" t="s">
        <v>199</v>
      </c>
      <c r="C15" s="167" t="s">
        <v>63</v>
      </c>
      <c r="E15" s="163">
        <v>0</v>
      </c>
      <c r="F15" s="163">
        <v>0</v>
      </c>
      <c r="G15" s="163">
        <v>0</v>
      </c>
      <c r="H15" s="163">
        <v>0</v>
      </c>
      <c r="I15" s="163">
        <v>0</v>
      </c>
      <c r="J15" s="163">
        <v>0</v>
      </c>
      <c r="K15" s="163">
        <v>2760</v>
      </c>
      <c r="L15" s="163">
        <v>0</v>
      </c>
    </row>
    <row r="16" spans="2:12" ht="12.75" outlineLevel="1">
      <c r="B16" s="170" t="s">
        <v>200</v>
      </c>
      <c r="C16" s="167" t="s">
        <v>63</v>
      </c>
      <c r="E16" s="163">
        <v>0</v>
      </c>
      <c r="F16" s="163">
        <v>0</v>
      </c>
      <c r="G16" s="163">
        <v>0</v>
      </c>
      <c r="H16" s="163">
        <v>0</v>
      </c>
      <c r="I16" s="163">
        <v>0</v>
      </c>
      <c r="J16" s="163">
        <v>0</v>
      </c>
      <c r="K16" s="163">
        <v>4.26</v>
      </c>
      <c r="L16" s="163">
        <v>0</v>
      </c>
    </row>
    <row r="17" spans="2:12" ht="12.75" outlineLevel="1">
      <c r="B17" s="170" t="s">
        <v>205</v>
      </c>
      <c r="C17" s="167" t="s">
        <v>63</v>
      </c>
      <c r="E17" s="163">
        <v>0</v>
      </c>
      <c r="F17" s="163">
        <v>0</v>
      </c>
      <c r="G17" s="163">
        <v>0</v>
      </c>
      <c r="H17" s="163">
        <v>0</v>
      </c>
      <c r="I17" s="163">
        <v>0</v>
      </c>
      <c r="J17" s="163">
        <v>0</v>
      </c>
      <c r="K17" s="163">
        <v>0.29</v>
      </c>
      <c r="L17" s="163">
        <v>0</v>
      </c>
    </row>
    <row r="18" spans="2:12" ht="12.75" outlineLevel="1">
      <c r="B18" s="170" t="s">
        <v>203</v>
      </c>
      <c r="C18" s="167" t="s">
        <v>63</v>
      </c>
      <c r="E18" s="163">
        <v>0</v>
      </c>
      <c r="F18" s="163">
        <v>0</v>
      </c>
      <c r="G18" s="163">
        <v>0</v>
      </c>
      <c r="H18" s="163">
        <v>0</v>
      </c>
      <c r="I18" s="163">
        <v>0</v>
      </c>
      <c r="J18" s="163">
        <v>0</v>
      </c>
      <c r="K18" s="163">
        <v>0.006</v>
      </c>
      <c r="L18" s="163">
        <v>0</v>
      </c>
    </row>
    <row r="19" spans="2:12" ht="12.75" outlineLevel="1">
      <c r="B19" s="170" t="s">
        <v>247</v>
      </c>
      <c r="C19" s="167"/>
      <c r="E19" s="164"/>
      <c r="F19" s="164"/>
      <c r="G19" s="164"/>
      <c r="H19" s="164"/>
      <c r="I19" s="164"/>
      <c r="J19" s="164"/>
      <c r="K19" s="164"/>
      <c r="L19" s="164"/>
    </row>
    <row r="20" spans="2:17" ht="12.75" outlineLevel="1">
      <c r="B20" s="172" t="s">
        <v>206</v>
      </c>
      <c r="C20" s="167"/>
      <c r="E20" s="164"/>
      <c r="F20" s="164"/>
      <c r="G20" s="164"/>
      <c r="H20" s="164"/>
      <c r="I20" s="164"/>
      <c r="J20" s="164"/>
      <c r="K20" s="164"/>
      <c r="L20" s="164"/>
      <c r="N20" s="63"/>
      <c r="O20" s="63"/>
      <c r="P20" s="63"/>
      <c r="Q20" s="63"/>
    </row>
    <row r="21" spans="2:12" ht="12.75" outlineLevel="1">
      <c r="B21" s="170" t="s">
        <v>199</v>
      </c>
      <c r="C21" s="167" t="s">
        <v>63</v>
      </c>
      <c r="E21" s="163">
        <v>0</v>
      </c>
      <c r="F21" s="163">
        <v>2760</v>
      </c>
      <c r="G21" s="163">
        <v>0</v>
      </c>
      <c r="H21" s="163">
        <v>2760</v>
      </c>
      <c r="I21" s="163">
        <v>2760</v>
      </c>
      <c r="J21" s="163">
        <v>0</v>
      </c>
      <c r="K21" s="163">
        <v>2760</v>
      </c>
      <c r="L21" s="163">
        <v>0</v>
      </c>
    </row>
    <row r="22" spans="2:12" ht="12.75" outlineLevel="1">
      <c r="B22" s="170" t="s">
        <v>200</v>
      </c>
      <c r="C22" s="167" t="s">
        <v>63</v>
      </c>
      <c r="E22" s="163">
        <v>0</v>
      </c>
      <c r="F22" s="163">
        <v>6</v>
      </c>
      <c r="G22" s="163">
        <v>0</v>
      </c>
      <c r="H22" s="163">
        <v>11.07</v>
      </c>
      <c r="I22" s="163">
        <v>17.28</v>
      </c>
      <c r="J22" s="163">
        <v>0</v>
      </c>
      <c r="K22" s="163">
        <v>14.16</v>
      </c>
      <c r="L22" s="163">
        <v>0</v>
      </c>
    </row>
    <row r="23" spans="2:12" ht="12.75" outlineLevel="1">
      <c r="B23" s="170" t="s">
        <v>201</v>
      </c>
      <c r="C23" s="167" t="s">
        <v>63</v>
      </c>
      <c r="E23" s="163">
        <v>0</v>
      </c>
      <c r="F23" s="163">
        <v>0.57</v>
      </c>
      <c r="G23" s="163">
        <v>0</v>
      </c>
      <c r="H23" s="163">
        <v>0.91</v>
      </c>
      <c r="I23" s="163">
        <v>1.64</v>
      </c>
      <c r="J23" s="163">
        <v>0</v>
      </c>
      <c r="K23" s="163">
        <v>1.58</v>
      </c>
      <c r="L23" s="163">
        <v>0</v>
      </c>
    </row>
    <row r="24" spans="2:12" ht="12.75" outlineLevel="1">
      <c r="B24" s="170" t="s">
        <v>203</v>
      </c>
      <c r="C24" s="167" t="s">
        <v>63</v>
      </c>
      <c r="E24" s="163">
        <v>0</v>
      </c>
      <c r="F24" s="163">
        <v>0</v>
      </c>
      <c r="G24" s="163">
        <v>0</v>
      </c>
      <c r="H24" s="163">
        <v>0.006</v>
      </c>
      <c r="I24" s="163">
        <v>0</v>
      </c>
      <c r="J24" s="163">
        <v>0</v>
      </c>
      <c r="K24" s="163">
        <v>0.006</v>
      </c>
      <c r="L24" s="163">
        <v>0</v>
      </c>
    </row>
    <row r="25" spans="2:12" ht="12.75" outlineLevel="1">
      <c r="B25" s="170" t="s">
        <v>247</v>
      </c>
      <c r="C25" s="167"/>
      <c r="E25" s="164"/>
      <c r="F25" s="164"/>
      <c r="G25" s="164"/>
      <c r="H25" s="164"/>
      <c r="I25" s="164"/>
      <c r="J25" s="164"/>
      <c r="K25" s="164"/>
      <c r="L25" s="164"/>
    </row>
    <row r="26" spans="2:12" ht="12.75" outlineLevel="1">
      <c r="B26" s="172" t="s">
        <v>207</v>
      </c>
      <c r="C26" s="167"/>
      <c r="E26" s="164"/>
      <c r="F26" s="164"/>
      <c r="G26" s="164"/>
      <c r="H26" s="164"/>
      <c r="I26" s="164"/>
      <c r="J26" s="164"/>
      <c r="K26" s="164"/>
      <c r="L26" s="164"/>
    </row>
    <row r="27" spans="2:12" ht="12.75" outlineLevel="1">
      <c r="B27" s="170" t="s">
        <v>199</v>
      </c>
      <c r="C27" s="167" t="s">
        <v>63</v>
      </c>
      <c r="E27" s="163">
        <v>0</v>
      </c>
      <c r="F27" s="163">
        <v>0</v>
      </c>
      <c r="G27" s="163">
        <v>0</v>
      </c>
      <c r="H27" s="163">
        <v>2760</v>
      </c>
      <c r="I27" s="163">
        <v>2760</v>
      </c>
      <c r="J27" s="163">
        <v>0</v>
      </c>
      <c r="K27" s="163">
        <v>2760</v>
      </c>
      <c r="L27" s="163">
        <v>0</v>
      </c>
    </row>
    <row r="28" spans="2:12" ht="12.75" outlineLevel="1">
      <c r="B28" s="170" t="s">
        <v>200</v>
      </c>
      <c r="C28" s="167" t="s">
        <v>63</v>
      </c>
      <c r="E28" s="163">
        <v>0</v>
      </c>
      <c r="F28" s="163">
        <v>0</v>
      </c>
      <c r="G28" s="163">
        <v>0</v>
      </c>
      <c r="H28" s="163">
        <v>5.54</v>
      </c>
      <c r="I28" s="163">
        <v>8.64</v>
      </c>
      <c r="J28" s="163">
        <v>0</v>
      </c>
      <c r="K28" s="163">
        <v>7.08</v>
      </c>
      <c r="L28" s="163">
        <v>0</v>
      </c>
    </row>
    <row r="29" spans="2:12" ht="12.75" outlineLevel="1">
      <c r="B29" s="170" t="s">
        <v>205</v>
      </c>
      <c r="C29" s="167" t="s">
        <v>63</v>
      </c>
      <c r="E29" s="163">
        <v>0</v>
      </c>
      <c r="F29" s="163">
        <v>0</v>
      </c>
      <c r="G29" s="163">
        <v>0</v>
      </c>
      <c r="H29" s="163">
        <v>0.32</v>
      </c>
      <c r="I29" s="163">
        <v>0.56</v>
      </c>
      <c r="J29" s="163">
        <v>0</v>
      </c>
      <c r="K29" s="163">
        <v>0.55</v>
      </c>
      <c r="L29" s="163">
        <v>0</v>
      </c>
    </row>
    <row r="30" spans="2:12" ht="12.75" outlineLevel="1">
      <c r="B30" s="170" t="s">
        <v>203</v>
      </c>
      <c r="C30" s="167" t="s">
        <v>63</v>
      </c>
      <c r="E30" s="163">
        <v>0</v>
      </c>
      <c r="F30" s="163">
        <v>0</v>
      </c>
      <c r="G30" s="163">
        <v>0</v>
      </c>
      <c r="H30" s="163">
        <v>0.006</v>
      </c>
      <c r="I30" s="163">
        <v>0</v>
      </c>
      <c r="J30" s="163">
        <v>0</v>
      </c>
      <c r="K30" s="163">
        <v>0.006</v>
      </c>
      <c r="L30" s="163">
        <v>0</v>
      </c>
    </row>
    <row r="31" spans="2:12" ht="12.75" outlineLevel="1">
      <c r="B31" s="170" t="s">
        <v>247</v>
      </c>
      <c r="C31" s="167"/>
      <c r="E31" s="164"/>
      <c r="F31" s="164"/>
      <c r="G31" s="164"/>
      <c r="H31" s="164"/>
      <c r="I31" s="164"/>
      <c r="J31" s="164"/>
      <c r="K31" s="164"/>
      <c r="L31" s="164"/>
    </row>
    <row r="32" spans="2:12" ht="12.75" outlineLevel="1">
      <c r="B32" s="172" t="s">
        <v>208</v>
      </c>
      <c r="C32" s="167"/>
      <c r="E32" s="164"/>
      <c r="F32" s="164"/>
      <c r="G32" s="164"/>
      <c r="H32" s="164"/>
      <c r="I32" s="164"/>
      <c r="J32" s="164"/>
      <c r="K32" s="164"/>
      <c r="L32" s="164"/>
    </row>
    <row r="33" spans="2:12" ht="12.75" outlineLevel="1">
      <c r="B33" s="170" t="s">
        <v>199</v>
      </c>
      <c r="C33" s="167" t="s">
        <v>63</v>
      </c>
      <c r="E33" s="163">
        <v>0</v>
      </c>
      <c r="F33" s="163">
        <v>2760</v>
      </c>
      <c r="G33" s="163">
        <v>2760</v>
      </c>
      <c r="H33" s="163">
        <v>2760</v>
      </c>
      <c r="I33" s="163">
        <v>2760</v>
      </c>
      <c r="J33" s="163">
        <v>0</v>
      </c>
      <c r="K33" s="163">
        <v>2760</v>
      </c>
      <c r="L33" s="163">
        <v>2760</v>
      </c>
    </row>
    <row r="34" spans="2:12" ht="12.75" outlineLevel="1">
      <c r="B34" s="170" t="s">
        <v>200</v>
      </c>
      <c r="C34" s="167" t="s">
        <v>63</v>
      </c>
      <c r="E34" s="163">
        <v>0</v>
      </c>
      <c r="F34" s="163">
        <v>15.84</v>
      </c>
      <c r="G34" s="163">
        <v>14.39</v>
      </c>
      <c r="H34" s="163">
        <v>14.18</v>
      </c>
      <c r="I34" s="163">
        <v>20.88</v>
      </c>
      <c r="J34" s="163">
        <v>0</v>
      </c>
      <c r="K34" s="163">
        <v>16.56</v>
      </c>
      <c r="L34" s="163">
        <v>22.87</v>
      </c>
    </row>
    <row r="35" spans="2:12" ht="12.75" outlineLevel="1">
      <c r="B35" s="170" t="s">
        <v>201</v>
      </c>
      <c r="C35" s="167" t="s">
        <v>63</v>
      </c>
      <c r="E35" s="163">
        <v>0</v>
      </c>
      <c r="F35" s="163">
        <v>1.55</v>
      </c>
      <c r="G35" s="163">
        <v>1.41</v>
      </c>
      <c r="H35" s="163">
        <v>1.4</v>
      </c>
      <c r="I35" s="163">
        <v>1.73</v>
      </c>
      <c r="J35" s="163">
        <v>0</v>
      </c>
      <c r="K35" s="163">
        <v>1.74</v>
      </c>
      <c r="L35" s="163">
        <v>2.52</v>
      </c>
    </row>
    <row r="36" spans="2:12" ht="12.75" outlineLevel="1">
      <c r="B36" s="170" t="s">
        <v>203</v>
      </c>
      <c r="C36" s="167" t="s">
        <v>63</v>
      </c>
      <c r="E36" s="163">
        <v>0</v>
      </c>
      <c r="F36" s="163">
        <v>0</v>
      </c>
      <c r="G36" s="163">
        <v>0.0064</v>
      </c>
      <c r="H36" s="163">
        <v>0.006</v>
      </c>
      <c r="I36" s="163">
        <v>0</v>
      </c>
      <c r="J36" s="163">
        <v>0</v>
      </c>
      <c r="K36" s="163">
        <v>0.006</v>
      </c>
      <c r="L36" s="163">
        <v>0</v>
      </c>
    </row>
    <row r="37" spans="2:12" ht="12.75" outlineLevel="1">
      <c r="B37" s="170" t="s">
        <v>247</v>
      </c>
      <c r="C37" s="167"/>
      <c r="E37" s="164"/>
      <c r="F37" s="164"/>
      <c r="G37" s="164"/>
      <c r="H37" s="164"/>
      <c r="I37" s="164"/>
      <c r="J37" s="164"/>
      <c r="K37" s="164"/>
      <c r="L37" s="164"/>
    </row>
    <row r="38" spans="2:12" ht="12.75" outlineLevel="1">
      <c r="B38" s="172" t="s">
        <v>209</v>
      </c>
      <c r="C38" s="167"/>
      <c r="E38" s="164"/>
      <c r="F38" s="164"/>
      <c r="G38" s="164"/>
      <c r="H38" s="164"/>
      <c r="I38" s="164"/>
      <c r="J38" s="164"/>
      <c r="K38" s="164"/>
      <c r="L38" s="164"/>
    </row>
    <row r="39" spans="2:12" ht="12.75" outlineLevel="1">
      <c r="B39" s="170" t="s">
        <v>199</v>
      </c>
      <c r="C39" s="167" t="s">
        <v>63</v>
      </c>
      <c r="E39" s="163">
        <v>0</v>
      </c>
      <c r="F39" s="163">
        <v>2760</v>
      </c>
      <c r="G39" s="163">
        <v>0</v>
      </c>
      <c r="H39" s="163">
        <v>2760</v>
      </c>
      <c r="I39" s="163">
        <v>2760</v>
      </c>
      <c r="J39" s="163">
        <v>0</v>
      </c>
      <c r="K39" s="163">
        <v>2760</v>
      </c>
      <c r="L39" s="163">
        <v>0</v>
      </c>
    </row>
    <row r="40" spans="2:12" ht="12.75" outlineLevel="1">
      <c r="B40" s="170" t="s">
        <v>200</v>
      </c>
      <c r="C40" s="167" t="s">
        <v>63</v>
      </c>
      <c r="E40" s="163">
        <v>0</v>
      </c>
      <c r="F40" s="163">
        <v>7.92</v>
      </c>
      <c r="G40" s="163">
        <v>0</v>
      </c>
      <c r="H40" s="163">
        <v>7.09</v>
      </c>
      <c r="I40" s="163">
        <v>10.44</v>
      </c>
      <c r="J40" s="163">
        <v>0</v>
      </c>
      <c r="K40" s="163">
        <v>8.28</v>
      </c>
      <c r="L40" s="163">
        <v>0</v>
      </c>
    </row>
    <row r="41" spans="2:12" ht="12.75" outlineLevel="1">
      <c r="B41" s="170" t="s">
        <v>205</v>
      </c>
      <c r="C41" s="167" t="s">
        <v>63</v>
      </c>
      <c r="E41" s="163">
        <v>0</v>
      </c>
      <c r="F41" s="163">
        <v>0.53</v>
      </c>
      <c r="G41" s="163">
        <v>0</v>
      </c>
      <c r="H41" s="163">
        <v>0.48</v>
      </c>
      <c r="I41" s="163">
        <v>0.59</v>
      </c>
      <c r="J41" s="163">
        <v>0</v>
      </c>
      <c r="K41" s="163">
        <v>0.6</v>
      </c>
      <c r="L41" s="163">
        <v>0</v>
      </c>
    </row>
    <row r="42" spans="2:12" ht="12.75" outlineLevel="1">
      <c r="B42" s="170" t="s">
        <v>203</v>
      </c>
      <c r="C42" s="167" t="s">
        <v>63</v>
      </c>
      <c r="E42" s="163">
        <v>0</v>
      </c>
      <c r="F42" s="163">
        <v>0</v>
      </c>
      <c r="G42" s="163">
        <v>0</v>
      </c>
      <c r="H42" s="163">
        <v>0.006</v>
      </c>
      <c r="I42" s="163">
        <v>0</v>
      </c>
      <c r="J42" s="163">
        <v>0</v>
      </c>
      <c r="K42" s="163">
        <v>0</v>
      </c>
      <c r="L42" s="163">
        <v>0</v>
      </c>
    </row>
    <row r="43" spans="2:12" ht="12.75" outlineLevel="1">
      <c r="B43" s="170" t="s">
        <v>247</v>
      </c>
      <c r="C43" s="167"/>
      <c r="E43" s="164"/>
      <c r="F43" s="164"/>
      <c r="G43" s="164"/>
      <c r="H43" s="164"/>
      <c r="I43" s="164"/>
      <c r="J43" s="164"/>
      <c r="K43" s="164"/>
      <c r="L43" s="164"/>
    </row>
    <row r="44" spans="2:12" ht="12.75" outlineLevel="1">
      <c r="B44" s="172" t="s">
        <v>210</v>
      </c>
      <c r="C44" s="167"/>
      <c r="E44" s="164"/>
      <c r="F44" s="164"/>
      <c r="G44" s="164"/>
      <c r="H44" s="164"/>
      <c r="I44" s="164"/>
      <c r="J44" s="164"/>
      <c r="K44" s="164"/>
      <c r="L44" s="164"/>
    </row>
    <row r="45" spans="2:12" ht="12.75" outlineLevel="1">
      <c r="B45" s="170" t="s">
        <v>199</v>
      </c>
      <c r="C45" s="167" t="s">
        <v>63</v>
      </c>
      <c r="E45" s="163">
        <v>0</v>
      </c>
      <c r="F45" s="163">
        <v>0</v>
      </c>
      <c r="G45" s="163">
        <v>441</v>
      </c>
      <c r="H45" s="163">
        <v>441</v>
      </c>
      <c r="I45" s="163">
        <v>0</v>
      </c>
      <c r="J45" s="163">
        <v>441</v>
      </c>
      <c r="K45" s="163">
        <v>0</v>
      </c>
      <c r="L45" s="163">
        <v>0</v>
      </c>
    </row>
    <row r="46" spans="2:12" ht="12.75" outlineLevel="1">
      <c r="B46" s="170" t="s">
        <v>211</v>
      </c>
      <c r="C46" s="167" t="s">
        <v>63</v>
      </c>
      <c r="E46" s="163">
        <v>0</v>
      </c>
      <c r="F46" s="163">
        <v>0</v>
      </c>
      <c r="G46" s="163">
        <v>12.73</v>
      </c>
      <c r="H46" s="163">
        <v>10.52</v>
      </c>
      <c r="I46" s="163">
        <v>0</v>
      </c>
      <c r="J46" s="163">
        <v>16.67</v>
      </c>
      <c r="K46" s="163">
        <v>0</v>
      </c>
      <c r="L46" s="163">
        <v>0</v>
      </c>
    </row>
    <row r="47" spans="2:12" ht="12.75" outlineLevel="1">
      <c r="B47" s="170" t="s">
        <v>201</v>
      </c>
      <c r="C47" s="167" t="s">
        <v>63</v>
      </c>
      <c r="E47" s="163">
        <v>0</v>
      </c>
      <c r="F47" s="163">
        <v>0</v>
      </c>
      <c r="G47" s="163">
        <v>1.08</v>
      </c>
      <c r="H47" s="163">
        <v>1.02</v>
      </c>
      <c r="I47" s="163">
        <v>0</v>
      </c>
      <c r="J47" s="163">
        <v>1.63</v>
      </c>
      <c r="K47" s="163">
        <v>0</v>
      </c>
      <c r="L47" s="163">
        <v>0</v>
      </c>
    </row>
    <row r="48" spans="2:12" ht="12.75" outlineLevel="1">
      <c r="B48" s="170" t="s">
        <v>202</v>
      </c>
      <c r="C48" s="167" t="s">
        <v>63</v>
      </c>
      <c r="E48" s="163">
        <v>0</v>
      </c>
      <c r="F48" s="163">
        <v>0</v>
      </c>
      <c r="G48" s="163">
        <v>0.0057</v>
      </c>
      <c r="H48" s="163">
        <v>0.004</v>
      </c>
      <c r="I48" s="163">
        <v>0</v>
      </c>
      <c r="J48" s="163">
        <v>0.0024</v>
      </c>
      <c r="K48" s="163">
        <v>0</v>
      </c>
      <c r="L48" s="163">
        <v>0</v>
      </c>
    </row>
    <row r="49" spans="2:12" ht="12.75" outlineLevel="1">
      <c r="B49" s="170" t="s">
        <v>203</v>
      </c>
      <c r="C49" s="167" t="s">
        <v>63</v>
      </c>
      <c r="E49" s="163">
        <v>0</v>
      </c>
      <c r="F49" s="163">
        <v>0</v>
      </c>
      <c r="G49" s="163">
        <v>0.0062</v>
      </c>
      <c r="H49" s="163">
        <v>0.006</v>
      </c>
      <c r="I49" s="163">
        <v>0</v>
      </c>
      <c r="J49" s="163">
        <v>0.0084</v>
      </c>
      <c r="K49" s="163">
        <v>0</v>
      </c>
      <c r="L49" s="163">
        <v>0</v>
      </c>
    </row>
    <row r="50" spans="2:12" ht="12.75" outlineLevel="1">
      <c r="B50" s="170" t="s">
        <v>247</v>
      </c>
      <c r="C50" s="167"/>
      <c r="E50" s="164"/>
      <c r="F50" s="164"/>
      <c r="G50" s="164"/>
      <c r="H50" s="164"/>
      <c r="I50" s="164"/>
      <c r="J50" s="164"/>
      <c r="K50" s="164"/>
      <c r="L50" s="164"/>
    </row>
    <row r="51" spans="2:12" ht="12.75" outlineLevel="1">
      <c r="B51" s="172" t="s">
        <v>212</v>
      </c>
      <c r="C51" s="167"/>
      <c r="E51" s="164"/>
      <c r="F51" s="164"/>
      <c r="G51" s="164"/>
      <c r="H51" s="164"/>
      <c r="I51" s="164"/>
      <c r="J51" s="164"/>
      <c r="K51" s="164"/>
      <c r="L51" s="164"/>
    </row>
    <row r="52" spans="2:12" ht="12.75" outlineLevel="1">
      <c r="B52" s="170" t="s">
        <v>199</v>
      </c>
      <c r="C52" s="167" t="s">
        <v>63</v>
      </c>
      <c r="E52" s="163">
        <v>441</v>
      </c>
      <c r="F52" s="163">
        <v>441</v>
      </c>
      <c r="G52" s="163">
        <v>441</v>
      </c>
      <c r="H52" s="163">
        <v>441</v>
      </c>
      <c r="I52" s="163">
        <v>441</v>
      </c>
      <c r="J52" s="163">
        <v>441</v>
      </c>
      <c r="K52" s="163">
        <v>441</v>
      </c>
      <c r="L52" s="163">
        <v>441</v>
      </c>
    </row>
    <row r="53" spans="2:12" ht="12.75" outlineLevel="1">
      <c r="B53" s="170" t="s">
        <v>211</v>
      </c>
      <c r="C53" s="167" t="s">
        <v>63</v>
      </c>
      <c r="E53" s="163">
        <v>13.83</v>
      </c>
      <c r="F53" s="163">
        <v>10.56</v>
      </c>
      <c r="G53" s="163">
        <v>13.52</v>
      </c>
      <c r="H53" s="163">
        <v>13.26</v>
      </c>
      <c r="I53" s="163">
        <v>13.2</v>
      </c>
      <c r="J53" s="163">
        <v>13.05</v>
      </c>
      <c r="K53" s="163">
        <v>9.96</v>
      </c>
      <c r="L53" s="163">
        <v>11.4</v>
      </c>
    </row>
    <row r="54" spans="2:12" ht="12.75" outlineLevel="1">
      <c r="B54" s="170" t="s">
        <v>201</v>
      </c>
      <c r="C54" s="167" t="s">
        <v>63</v>
      </c>
      <c r="E54" s="163">
        <v>1.3</v>
      </c>
      <c r="F54" s="163">
        <v>1.03</v>
      </c>
      <c r="G54" s="163">
        <v>1.36</v>
      </c>
      <c r="H54" s="163">
        <v>1.33</v>
      </c>
      <c r="I54" s="163">
        <v>1.2</v>
      </c>
      <c r="J54" s="163">
        <v>1.39</v>
      </c>
      <c r="K54" s="163">
        <v>1.35</v>
      </c>
      <c r="L54" s="163">
        <v>1.47</v>
      </c>
    </row>
    <row r="55" spans="2:12" ht="12.75" outlineLevel="1">
      <c r="B55" s="170" t="s">
        <v>202</v>
      </c>
      <c r="C55" s="167" t="s">
        <v>63</v>
      </c>
      <c r="E55" s="163">
        <v>0.0068</v>
      </c>
      <c r="F55" s="163">
        <v>0.0078</v>
      </c>
      <c r="G55" s="163">
        <v>0.0087</v>
      </c>
      <c r="H55" s="163">
        <v>0.0077</v>
      </c>
      <c r="I55" s="163">
        <v>0.0074</v>
      </c>
      <c r="J55" s="163">
        <v>0.0086</v>
      </c>
      <c r="K55" s="163">
        <v>0.0083</v>
      </c>
      <c r="L55" s="163">
        <v>0.0098</v>
      </c>
    </row>
    <row r="56" spans="2:12" ht="12.75" outlineLevel="1">
      <c r="B56" s="170" t="s">
        <v>203</v>
      </c>
      <c r="C56" s="167" t="s">
        <v>63</v>
      </c>
      <c r="E56" s="163">
        <v>0.0126</v>
      </c>
      <c r="F56" s="163">
        <v>0</v>
      </c>
      <c r="G56" s="163">
        <v>0.0062</v>
      </c>
      <c r="H56" s="163">
        <v>0.006</v>
      </c>
      <c r="I56" s="163">
        <v>0</v>
      </c>
      <c r="J56" s="163">
        <v>0.0084</v>
      </c>
      <c r="K56" s="163">
        <v>0.006</v>
      </c>
      <c r="L56" s="163">
        <v>0</v>
      </c>
    </row>
    <row r="57" spans="2:12" ht="12.75" outlineLevel="1">
      <c r="B57" s="170" t="s">
        <v>247</v>
      </c>
      <c r="C57" s="167"/>
      <c r="E57" s="164"/>
      <c r="F57" s="164"/>
      <c r="G57" s="164"/>
      <c r="H57" s="164"/>
      <c r="I57" s="164"/>
      <c r="J57" s="164"/>
      <c r="K57" s="164"/>
      <c r="L57" s="164"/>
    </row>
    <row r="58" spans="2:12" ht="12.75" outlineLevel="1">
      <c r="B58" s="172" t="s">
        <v>213</v>
      </c>
      <c r="C58" s="167"/>
      <c r="E58" s="164"/>
      <c r="F58" s="164"/>
      <c r="G58" s="164"/>
      <c r="H58" s="164"/>
      <c r="I58" s="164"/>
      <c r="J58" s="164"/>
      <c r="K58" s="164"/>
      <c r="L58" s="164"/>
    </row>
    <row r="59" spans="2:12" ht="12.75" outlineLevel="1">
      <c r="B59" s="170" t="s">
        <v>199</v>
      </c>
      <c r="C59" s="167" t="s">
        <v>63</v>
      </c>
      <c r="E59" s="163">
        <v>441</v>
      </c>
      <c r="F59" s="163">
        <v>441</v>
      </c>
      <c r="G59" s="163">
        <v>441</v>
      </c>
      <c r="H59" s="163">
        <v>441</v>
      </c>
      <c r="I59" s="163">
        <v>441</v>
      </c>
      <c r="J59" s="163">
        <v>441</v>
      </c>
      <c r="K59" s="163">
        <v>441</v>
      </c>
      <c r="L59" s="163">
        <v>441</v>
      </c>
    </row>
    <row r="60" spans="2:12" ht="12.75" outlineLevel="1">
      <c r="B60" s="170" t="s">
        <v>211</v>
      </c>
      <c r="C60" s="167" t="s">
        <v>63</v>
      </c>
      <c r="E60" s="163">
        <v>15.47</v>
      </c>
      <c r="F60" s="163">
        <v>18.96</v>
      </c>
      <c r="G60" s="163">
        <v>21.7</v>
      </c>
      <c r="H60" s="163">
        <v>20.2</v>
      </c>
      <c r="I60" s="163">
        <v>20.4</v>
      </c>
      <c r="J60" s="163">
        <v>18.26</v>
      </c>
      <c r="K60" s="163">
        <v>16.2</v>
      </c>
      <c r="L60" s="163">
        <v>22.81</v>
      </c>
    </row>
    <row r="61" spans="2:12" ht="12.75" outlineLevel="1">
      <c r="B61" s="170" t="s">
        <v>201</v>
      </c>
      <c r="C61" s="167" t="s">
        <v>63</v>
      </c>
      <c r="E61" s="163">
        <v>1.3</v>
      </c>
      <c r="F61" s="163">
        <v>1.03</v>
      </c>
      <c r="G61" s="163">
        <v>1.36</v>
      </c>
      <c r="H61" s="163">
        <v>1.33</v>
      </c>
      <c r="I61" s="163">
        <v>1.2</v>
      </c>
      <c r="J61" s="163">
        <v>1.39</v>
      </c>
      <c r="K61" s="163">
        <v>1.35</v>
      </c>
      <c r="L61" s="163">
        <v>1.47</v>
      </c>
    </row>
    <row r="62" spans="2:12" ht="12.75" outlineLevel="1">
      <c r="B62" s="170" t="s">
        <v>202</v>
      </c>
      <c r="C62" s="167" t="s">
        <v>63</v>
      </c>
      <c r="E62" s="163">
        <v>0.0068</v>
      </c>
      <c r="F62" s="163">
        <v>0.0078</v>
      </c>
      <c r="G62" s="163">
        <v>0.0087</v>
      </c>
      <c r="H62" s="163">
        <v>0.0077</v>
      </c>
      <c r="I62" s="163">
        <v>0.0074</v>
      </c>
      <c r="J62" s="163">
        <v>0.0086</v>
      </c>
      <c r="K62" s="163">
        <v>0.0083</v>
      </c>
      <c r="L62" s="163">
        <v>0.0098</v>
      </c>
    </row>
    <row r="63" spans="2:12" ht="12.75" outlineLevel="1">
      <c r="B63" s="170" t="s">
        <v>203</v>
      </c>
      <c r="C63" s="167" t="s">
        <v>63</v>
      </c>
      <c r="E63" s="163">
        <v>0.0126</v>
      </c>
      <c r="F63" s="163">
        <v>0</v>
      </c>
      <c r="G63" s="163">
        <v>0.0062</v>
      </c>
      <c r="H63" s="163">
        <v>0.006</v>
      </c>
      <c r="I63" s="163">
        <v>0</v>
      </c>
      <c r="J63" s="163">
        <v>0.0084</v>
      </c>
      <c r="K63" s="163">
        <v>0.006</v>
      </c>
      <c r="L63" s="163">
        <v>0</v>
      </c>
    </row>
    <row r="64" spans="2:12" ht="12.75" outlineLevel="1">
      <c r="B64" s="170" t="s">
        <v>247</v>
      </c>
      <c r="C64" s="167"/>
      <c r="E64" s="164"/>
      <c r="F64" s="164"/>
      <c r="G64" s="164"/>
      <c r="H64" s="164"/>
      <c r="I64" s="164"/>
      <c r="J64" s="164"/>
      <c r="K64" s="164"/>
      <c r="L64" s="164"/>
    </row>
    <row r="65" spans="2:12" ht="12.75" outlineLevel="1">
      <c r="B65" s="172" t="s">
        <v>214</v>
      </c>
      <c r="C65" s="167"/>
      <c r="E65" s="164"/>
      <c r="F65" s="164"/>
      <c r="G65" s="164"/>
      <c r="H65" s="164"/>
      <c r="I65" s="164"/>
      <c r="J65" s="164"/>
      <c r="K65" s="164"/>
      <c r="L65" s="164"/>
    </row>
    <row r="66" spans="2:12" ht="12.75" outlineLevel="1">
      <c r="B66" s="170" t="s">
        <v>199</v>
      </c>
      <c r="C66" s="167" t="s">
        <v>63</v>
      </c>
      <c r="E66" s="163">
        <v>18</v>
      </c>
      <c r="F66" s="163">
        <v>18</v>
      </c>
      <c r="G66" s="163">
        <v>0</v>
      </c>
      <c r="H66" s="163">
        <v>18</v>
      </c>
      <c r="I66" s="163">
        <v>18</v>
      </c>
      <c r="J66" s="163">
        <v>18</v>
      </c>
      <c r="K66" s="163">
        <v>18</v>
      </c>
      <c r="L66" s="163">
        <v>18</v>
      </c>
    </row>
    <row r="67" spans="2:12" ht="12.75" outlineLevel="1">
      <c r="B67" s="170" t="s">
        <v>211</v>
      </c>
      <c r="C67" s="167" t="s">
        <v>63</v>
      </c>
      <c r="E67" s="163">
        <v>6.59</v>
      </c>
      <c r="F67" s="163">
        <v>5.46</v>
      </c>
      <c r="G67" s="163">
        <v>0</v>
      </c>
      <c r="H67" s="163">
        <v>4.51</v>
      </c>
      <c r="I67" s="163">
        <v>3.84</v>
      </c>
      <c r="J67" s="163">
        <v>5.88</v>
      </c>
      <c r="K67" s="163">
        <v>4.08</v>
      </c>
      <c r="L67" s="163">
        <v>6.47</v>
      </c>
    </row>
    <row r="68" spans="2:12" ht="12.75" outlineLevel="1">
      <c r="B68" s="170" t="s">
        <v>221</v>
      </c>
      <c r="C68" s="167" t="s">
        <v>63</v>
      </c>
      <c r="E68" s="163">
        <v>0.0163</v>
      </c>
      <c r="F68" s="163">
        <v>0.0201</v>
      </c>
      <c r="G68" s="163">
        <v>0</v>
      </c>
      <c r="H68" s="163">
        <v>0.0143</v>
      </c>
      <c r="I68" s="163">
        <v>0.0111</v>
      </c>
      <c r="J68" s="163">
        <v>0.0168</v>
      </c>
      <c r="K68" s="163">
        <v>0.015</v>
      </c>
      <c r="L68" s="163">
        <v>0.0176</v>
      </c>
    </row>
    <row r="69" spans="2:12" ht="12.75" outlineLevel="1">
      <c r="B69" s="170" t="s">
        <v>202</v>
      </c>
      <c r="C69" s="167" t="s">
        <v>63</v>
      </c>
      <c r="E69" s="163">
        <v>0.0349</v>
      </c>
      <c r="F69" s="163">
        <v>0.0304</v>
      </c>
      <c r="G69" s="163">
        <v>0</v>
      </c>
      <c r="H69" s="163">
        <v>0.0273</v>
      </c>
      <c r="I69" s="163">
        <v>0.0309</v>
      </c>
      <c r="J69" s="163">
        <v>0.0323</v>
      </c>
      <c r="K69" s="163">
        <v>0.03</v>
      </c>
      <c r="L69" s="163">
        <v>0.035</v>
      </c>
    </row>
    <row r="70" spans="2:12" ht="12.75" outlineLevel="1">
      <c r="B70" s="170" t="s">
        <v>203</v>
      </c>
      <c r="C70" s="167" t="s">
        <v>63</v>
      </c>
      <c r="E70" s="163">
        <v>0.0188</v>
      </c>
      <c r="F70" s="163">
        <v>0</v>
      </c>
      <c r="G70" s="163">
        <v>0</v>
      </c>
      <c r="H70" s="163">
        <v>0</v>
      </c>
      <c r="I70" s="163">
        <v>0</v>
      </c>
      <c r="J70" s="163">
        <v>0.0126</v>
      </c>
      <c r="K70" s="163">
        <v>0.006</v>
      </c>
      <c r="L70" s="163">
        <v>0</v>
      </c>
    </row>
    <row r="71" spans="2:12" ht="12.75" outlineLevel="1">
      <c r="B71" s="170" t="s">
        <v>247</v>
      </c>
      <c r="C71" s="167"/>
      <c r="E71" s="164"/>
      <c r="F71" s="164"/>
      <c r="G71" s="164"/>
      <c r="H71" s="164"/>
      <c r="I71" s="164"/>
      <c r="J71" s="164"/>
      <c r="K71" s="164"/>
      <c r="L71" s="164"/>
    </row>
    <row r="72" spans="2:12" ht="12.75" outlineLevel="1">
      <c r="B72" s="287" t="s">
        <v>505</v>
      </c>
      <c r="C72" s="167"/>
      <c r="E72" s="164"/>
      <c r="F72" s="164"/>
      <c r="G72" s="164"/>
      <c r="H72" s="164"/>
      <c r="I72" s="164"/>
      <c r="J72" s="164"/>
      <c r="K72" s="164"/>
      <c r="L72" s="164"/>
    </row>
    <row r="73" spans="2:12" ht="12.75" outlineLevel="1">
      <c r="B73" s="288"/>
      <c r="C73" s="167"/>
      <c r="E73" s="164"/>
      <c r="F73" s="164"/>
      <c r="G73" s="164"/>
      <c r="H73" s="164"/>
      <c r="I73" s="164"/>
      <c r="J73" s="164"/>
      <c r="K73" s="164"/>
      <c r="L73" s="164"/>
    </row>
    <row r="74" spans="2:12" ht="12.75" outlineLevel="1">
      <c r="B74" s="289" t="s">
        <v>222</v>
      </c>
      <c r="C74" s="167"/>
      <c r="E74" s="164"/>
      <c r="F74" s="164"/>
      <c r="G74" s="164"/>
      <c r="H74" s="164"/>
      <c r="I74" s="164"/>
      <c r="J74" s="164"/>
      <c r="K74" s="164"/>
      <c r="L74" s="164"/>
    </row>
    <row r="75" spans="2:12" ht="12.75" outlineLevel="1">
      <c r="B75" s="288" t="s">
        <v>199</v>
      </c>
      <c r="C75" s="167"/>
      <c r="E75" s="164"/>
      <c r="F75" s="164"/>
      <c r="G75" s="164"/>
      <c r="H75" s="164"/>
      <c r="I75" s="164"/>
      <c r="J75" s="164"/>
      <c r="K75" s="164"/>
      <c r="L75" s="164"/>
    </row>
    <row r="76" spans="2:12" ht="12.75" outlineLevel="1">
      <c r="B76" s="288" t="s">
        <v>211</v>
      </c>
      <c r="C76" s="167"/>
      <c r="E76" s="164"/>
      <c r="F76" s="164"/>
      <c r="G76" s="164"/>
      <c r="H76" s="164"/>
      <c r="I76" s="164"/>
      <c r="J76" s="164"/>
      <c r="K76" s="164"/>
      <c r="L76" s="164"/>
    </row>
    <row r="77" spans="2:12" ht="12.75" outlineLevel="1">
      <c r="B77" s="288" t="s">
        <v>221</v>
      </c>
      <c r="C77" s="167"/>
      <c r="E77" s="164"/>
      <c r="F77" s="164"/>
      <c r="G77" s="164"/>
      <c r="H77" s="164"/>
      <c r="I77" s="164"/>
      <c r="J77" s="164"/>
      <c r="K77" s="164"/>
      <c r="L77" s="164"/>
    </row>
    <row r="78" spans="2:12" ht="12.75" outlineLevel="1">
      <c r="B78" s="288" t="s">
        <v>202</v>
      </c>
      <c r="C78" s="167"/>
      <c r="E78" s="164"/>
      <c r="F78" s="164"/>
      <c r="G78" s="164"/>
      <c r="H78" s="164"/>
      <c r="I78" s="164"/>
      <c r="J78" s="164"/>
      <c r="K78" s="164"/>
      <c r="L78" s="164"/>
    </row>
    <row r="79" spans="2:12" ht="12.75" outlineLevel="1">
      <c r="B79" s="288" t="s">
        <v>247</v>
      </c>
      <c r="C79" s="167"/>
      <c r="E79" s="164"/>
      <c r="F79" s="164"/>
      <c r="G79" s="164"/>
      <c r="H79" s="164"/>
      <c r="I79" s="164"/>
      <c r="J79" s="164"/>
      <c r="K79" s="164"/>
      <c r="L79" s="164"/>
    </row>
    <row r="80" spans="2:12" ht="12.75" outlineLevel="1">
      <c r="B80" s="289" t="s">
        <v>223</v>
      </c>
      <c r="C80" s="167"/>
      <c r="E80" s="164"/>
      <c r="F80" s="164"/>
      <c r="G80" s="164"/>
      <c r="H80" s="164"/>
      <c r="I80" s="164"/>
      <c r="J80" s="164"/>
      <c r="K80" s="164"/>
      <c r="L80" s="164"/>
    </row>
    <row r="81" spans="2:12" ht="12.75" outlineLevel="1">
      <c r="B81" s="288" t="s">
        <v>199</v>
      </c>
      <c r="C81" s="167"/>
      <c r="E81" s="164"/>
      <c r="F81" s="164"/>
      <c r="G81" s="164"/>
      <c r="H81" s="164"/>
      <c r="I81" s="164"/>
      <c r="J81" s="164"/>
      <c r="K81" s="164"/>
      <c r="L81" s="164"/>
    </row>
    <row r="82" spans="2:12" ht="12.75" outlineLevel="1">
      <c r="B82" s="288" t="s">
        <v>211</v>
      </c>
      <c r="C82" s="167"/>
      <c r="E82" s="164"/>
      <c r="F82" s="164"/>
      <c r="G82" s="164"/>
      <c r="H82" s="164"/>
      <c r="I82" s="164"/>
      <c r="J82" s="164"/>
      <c r="K82" s="164"/>
      <c r="L82" s="164"/>
    </row>
    <row r="83" spans="2:12" ht="12.75" outlineLevel="1">
      <c r="B83" s="288" t="s">
        <v>224</v>
      </c>
      <c r="C83" s="167"/>
      <c r="E83" s="164"/>
      <c r="F83" s="164"/>
      <c r="G83" s="164"/>
      <c r="H83" s="164"/>
      <c r="I83" s="164"/>
      <c r="J83" s="164"/>
      <c r="K83" s="164"/>
      <c r="L83" s="164"/>
    </row>
    <row r="84" spans="2:12" ht="12.75" outlineLevel="1">
      <c r="B84" s="288" t="s">
        <v>247</v>
      </c>
      <c r="C84" s="167"/>
      <c r="E84" s="164"/>
      <c r="F84" s="164"/>
      <c r="G84" s="164"/>
      <c r="H84" s="164"/>
      <c r="I84" s="164"/>
      <c r="J84" s="164"/>
      <c r="K84" s="164"/>
      <c r="L84" s="164"/>
    </row>
    <row r="85" spans="2:12" ht="12.75" outlineLevel="1">
      <c r="B85" s="289" t="s">
        <v>225</v>
      </c>
      <c r="C85" s="167"/>
      <c r="E85" s="164"/>
      <c r="F85" s="164"/>
      <c r="G85" s="164"/>
      <c r="H85" s="164"/>
      <c r="I85" s="164"/>
      <c r="J85" s="164"/>
      <c r="K85" s="164"/>
      <c r="L85" s="164"/>
    </row>
    <row r="86" spans="2:12" ht="12.75" outlineLevel="1">
      <c r="B86" s="288" t="s">
        <v>199</v>
      </c>
      <c r="C86" s="167"/>
      <c r="E86" s="164"/>
      <c r="F86" s="164"/>
      <c r="G86" s="164"/>
      <c r="H86" s="164"/>
      <c r="I86" s="164"/>
      <c r="J86" s="164"/>
      <c r="K86" s="164"/>
      <c r="L86" s="164"/>
    </row>
    <row r="87" spans="2:12" ht="12.75" outlineLevel="1">
      <c r="B87" s="288" t="s">
        <v>221</v>
      </c>
      <c r="C87" s="167"/>
      <c r="E87" s="164"/>
      <c r="F87" s="164"/>
      <c r="G87" s="164"/>
      <c r="H87" s="164"/>
      <c r="I87" s="164"/>
      <c r="J87" s="164"/>
      <c r="K87" s="164"/>
      <c r="L87" s="164"/>
    </row>
    <row r="88" spans="2:12" ht="12.75" outlineLevel="1">
      <c r="B88" s="288" t="s">
        <v>202</v>
      </c>
      <c r="C88" s="167"/>
      <c r="E88" s="164"/>
      <c r="F88" s="164"/>
      <c r="G88" s="164"/>
      <c r="H88" s="164"/>
      <c r="I88" s="164"/>
      <c r="J88" s="164"/>
      <c r="K88" s="164"/>
      <c r="L88" s="164"/>
    </row>
    <row r="89" spans="2:12" ht="12.75" outlineLevel="1">
      <c r="B89" s="288" t="s">
        <v>247</v>
      </c>
      <c r="C89" s="167"/>
      <c r="E89" s="164"/>
      <c r="F89" s="164"/>
      <c r="G89" s="164"/>
      <c r="H89" s="164"/>
      <c r="I89" s="164"/>
      <c r="J89" s="164"/>
      <c r="K89" s="164"/>
      <c r="L89" s="164"/>
    </row>
    <row r="90" spans="2:12" ht="12.75" outlineLevel="1">
      <c r="B90" s="289" t="s">
        <v>226</v>
      </c>
      <c r="C90" s="167"/>
      <c r="E90" s="164"/>
      <c r="F90" s="164"/>
      <c r="G90" s="164"/>
      <c r="H90" s="164"/>
      <c r="I90" s="164"/>
      <c r="J90" s="164"/>
      <c r="K90" s="164"/>
      <c r="L90" s="164"/>
    </row>
    <row r="91" spans="2:12" ht="12.75" outlineLevel="1">
      <c r="B91" s="288" t="s">
        <v>199</v>
      </c>
      <c r="C91" s="167"/>
      <c r="E91" s="164"/>
      <c r="F91" s="164"/>
      <c r="G91" s="164"/>
      <c r="H91" s="164"/>
      <c r="I91" s="164"/>
      <c r="J91" s="164"/>
      <c r="K91" s="164"/>
      <c r="L91" s="164"/>
    </row>
    <row r="92" spans="2:12" ht="12.75" outlineLevel="1">
      <c r="B92" s="288" t="s">
        <v>224</v>
      </c>
      <c r="C92" s="167"/>
      <c r="E92" s="164"/>
      <c r="F92" s="164"/>
      <c r="G92" s="164"/>
      <c r="H92" s="164"/>
      <c r="I92" s="164"/>
      <c r="J92" s="164"/>
      <c r="K92" s="164"/>
      <c r="L92" s="164"/>
    </row>
    <row r="93" spans="2:12" ht="12.75" outlineLevel="1">
      <c r="B93" s="288" t="s">
        <v>247</v>
      </c>
      <c r="C93" s="167"/>
      <c r="E93" s="164"/>
      <c r="F93" s="164"/>
      <c r="G93" s="164"/>
      <c r="H93" s="164"/>
      <c r="I93" s="164"/>
      <c r="J93" s="164"/>
      <c r="K93" s="164"/>
      <c r="L93" s="164"/>
    </row>
    <row r="94" spans="2:12" ht="12.75" outlineLevel="1">
      <c r="B94" s="289" t="s">
        <v>232</v>
      </c>
      <c r="C94" s="167"/>
      <c r="E94" s="164"/>
      <c r="F94" s="164"/>
      <c r="G94" s="164"/>
      <c r="H94" s="164"/>
      <c r="I94" s="164"/>
      <c r="J94" s="164"/>
      <c r="K94" s="164"/>
      <c r="L94" s="164"/>
    </row>
    <row r="95" spans="2:12" ht="12.75" outlineLevel="1">
      <c r="B95" s="288" t="s">
        <v>199</v>
      </c>
      <c r="C95" s="167"/>
      <c r="E95" s="164"/>
      <c r="F95" s="164"/>
      <c r="G95" s="164"/>
      <c r="H95" s="164"/>
      <c r="I95" s="164"/>
      <c r="J95" s="164"/>
      <c r="K95" s="164"/>
      <c r="L95" s="164"/>
    </row>
    <row r="96" spans="2:12" ht="12.75" outlineLevel="1">
      <c r="B96" s="288" t="s">
        <v>221</v>
      </c>
      <c r="C96" s="167"/>
      <c r="E96" s="164"/>
      <c r="F96" s="164"/>
      <c r="G96" s="164"/>
      <c r="H96" s="164"/>
      <c r="I96" s="164"/>
      <c r="J96" s="164"/>
      <c r="K96" s="164"/>
      <c r="L96" s="164"/>
    </row>
    <row r="97" spans="2:12" ht="12.75" outlineLevel="1">
      <c r="B97" s="288" t="s">
        <v>202</v>
      </c>
      <c r="C97" s="167"/>
      <c r="E97" s="164"/>
      <c r="F97" s="164"/>
      <c r="G97" s="164"/>
      <c r="H97" s="164"/>
      <c r="I97" s="164"/>
      <c r="J97" s="164"/>
      <c r="K97" s="164"/>
      <c r="L97" s="164"/>
    </row>
    <row r="98" spans="2:12" ht="12.75" outlineLevel="1">
      <c r="B98" s="170"/>
      <c r="C98" s="167"/>
      <c r="E98" s="164"/>
      <c r="F98" s="164"/>
      <c r="G98" s="164"/>
      <c r="H98" s="164"/>
      <c r="I98" s="164"/>
      <c r="J98" s="164"/>
      <c r="K98" s="164"/>
      <c r="L98" s="164"/>
    </row>
    <row r="99" spans="2:12" ht="12.75" outlineLevel="1">
      <c r="B99" s="171" t="s">
        <v>506</v>
      </c>
      <c r="C99" s="167"/>
      <c r="E99" s="164"/>
      <c r="F99" s="164"/>
      <c r="G99" s="164"/>
      <c r="H99" s="164"/>
      <c r="I99" s="164"/>
      <c r="J99" s="164"/>
      <c r="K99" s="164"/>
      <c r="L99" s="164"/>
    </row>
    <row r="100" spans="2:12" ht="12.75" outlineLevel="1">
      <c r="B100" s="170"/>
      <c r="C100" s="167"/>
      <c r="E100" s="164"/>
      <c r="F100" s="164"/>
      <c r="G100" s="164"/>
      <c r="H100" s="164"/>
      <c r="I100" s="164"/>
      <c r="J100" s="164"/>
      <c r="K100" s="164"/>
      <c r="L100" s="164"/>
    </row>
    <row r="101" spans="2:12" ht="12.75" outlineLevel="1">
      <c r="B101" s="172" t="s">
        <v>235</v>
      </c>
      <c r="C101" s="167"/>
      <c r="E101" s="164"/>
      <c r="F101" s="164"/>
      <c r="G101" s="164"/>
      <c r="H101" s="164"/>
      <c r="I101" s="164"/>
      <c r="J101" s="164"/>
      <c r="K101" s="164"/>
      <c r="L101" s="164"/>
    </row>
    <row r="102" spans="2:12" ht="12.75" outlineLevel="1">
      <c r="B102" s="170" t="s">
        <v>236</v>
      </c>
      <c r="C102" s="167" t="s">
        <v>63</v>
      </c>
      <c r="E102" s="163">
        <v>0.54</v>
      </c>
      <c r="F102" s="163">
        <v>0.54</v>
      </c>
      <c r="G102" s="163">
        <v>0.54</v>
      </c>
      <c r="H102" s="163">
        <v>0.54</v>
      </c>
      <c r="I102" s="163">
        <v>0.54</v>
      </c>
      <c r="J102" s="163">
        <v>0.54</v>
      </c>
      <c r="K102" s="163">
        <v>0.54</v>
      </c>
      <c r="L102" s="163">
        <v>0.54</v>
      </c>
    </row>
    <row r="103" spans="2:12" ht="12.75" outlineLevel="1">
      <c r="B103" s="170" t="s">
        <v>237</v>
      </c>
      <c r="C103" s="167" t="s">
        <v>63</v>
      </c>
      <c r="E103" s="163">
        <v>18</v>
      </c>
      <c r="F103" s="163">
        <v>18</v>
      </c>
      <c r="G103" s="163">
        <v>18</v>
      </c>
      <c r="H103" s="163">
        <v>18</v>
      </c>
      <c r="I103" s="163">
        <v>18</v>
      </c>
      <c r="J103" s="163">
        <v>18</v>
      </c>
      <c r="K103" s="163">
        <v>18</v>
      </c>
      <c r="L103" s="163">
        <v>18</v>
      </c>
    </row>
    <row r="104" spans="2:12" ht="12.75" outlineLevel="1">
      <c r="B104" s="170"/>
      <c r="C104" s="167"/>
      <c r="E104" s="164"/>
      <c r="F104" s="164"/>
      <c r="G104" s="164"/>
      <c r="H104" s="164"/>
      <c r="I104" s="164"/>
      <c r="J104" s="164"/>
      <c r="K104" s="164"/>
      <c r="L104" s="164"/>
    </row>
    <row r="105" spans="2:12" ht="12.75" outlineLevel="1">
      <c r="B105" s="172" t="s">
        <v>238</v>
      </c>
      <c r="C105" s="167"/>
      <c r="E105" s="164"/>
      <c r="F105" s="164"/>
      <c r="G105" s="164"/>
      <c r="H105" s="164"/>
      <c r="I105" s="164"/>
      <c r="J105" s="164"/>
      <c r="K105" s="164"/>
      <c r="L105" s="164"/>
    </row>
    <row r="106" spans="2:12" ht="12.75" outlineLevel="1">
      <c r="B106" s="170" t="s">
        <v>239</v>
      </c>
      <c r="C106" s="167" t="s">
        <v>63</v>
      </c>
      <c r="E106" s="163">
        <v>1.7255</v>
      </c>
      <c r="F106" s="163">
        <v>1.5375</v>
      </c>
      <c r="G106" s="163">
        <v>1.36</v>
      </c>
      <c r="H106" s="163">
        <v>1.3255000000000001</v>
      </c>
      <c r="I106" s="163">
        <v>1.3485</v>
      </c>
      <c r="J106" s="163">
        <v>1.3905</v>
      </c>
      <c r="K106" s="163">
        <v>1.314</v>
      </c>
      <c r="L106" s="163">
        <v>1.805</v>
      </c>
    </row>
    <row r="107" spans="2:12" ht="12.75" outlineLevel="1">
      <c r="B107" s="170" t="s">
        <v>240</v>
      </c>
      <c r="C107" s="167" t="s">
        <v>63</v>
      </c>
      <c r="E107" s="163">
        <v>138.04</v>
      </c>
      <c r="F107" s="163">
        <v>123</v>
      </c>
      <c r="G107" s="163">
        <v>108.8</v>
      </c>
      <c r="H107" s="163">
        <v>106.04</v>
      </c>
      <c r="I107" s="163">
        <v>107.88</v>
      </c>
      <c r="J107" s="163">
        <v>111.24</v>
      </c>
      <c r="K107" s="163">
        <v>105.12</v>
      </c>
      <c r="L107" s="163">
        <v>144.4</v>
      </c>
    </row>
    <row r="108" spans="2:12" ht="12.75" outlineLevel="1">
      <c r="B108" s="170" t="s">
        <v>241</v>
      </c>
      <c r="C108" s="167" t="s">
        <v>63</v>
      </c>
      <c r="E108" s="163">
        <v>690.2</v>
      </c>
      <c r="F108" s="163">
        <v>615</v>
      </c>
      <c r="G108" s="163">
        <v>544</v>
      </c>
      <c r="H108" s="163">
        <v>530.2</v>
      </c>
      <c r="I108" s="163">
        <v>539.4</v>
      </c>
      <c r="J108" s="163">
        <v>556.2</v>
      </c>
      <c r="K108" s="163">
        <v>525.6</v>
      </c>
      <c r="L108" s="163">
        <v>722</v>
      </c>
    </row>
    <row r="109" spans="2:12" ht="12.75" outlineLevel="1">
      <c r="B109" s="170" t="s">
        <v>242</v>
      </c>
      <c r="C109" s="167" t="s">
        <v>63</v>
      </c>
      <c r="E109" s="163">
        <v>1035.3</v>
      </c>
      <c r="F109" s="163">
        <v>922.5</v>
      </c>
      <c r="G109" s="163">
        <v>816</v>
      </c>
      <c r="H109" s="163">
        <v>795.3</v>
      </c>
      <c r="I109" s="163">
        <v>809.1</v>
      </c>
      <c r="J109" s="163">
        <v>834.3</v>
      </c>
      <c r="K109" s="163">
        <v>788.4</v>
      </c>
      <c r="L109" s="163">
        <v>1083</v>
      </c>
    </row>
    <row r="110" spans="2:12" ht="12.75" outlineLevel="1">
      <c r="B110" s="170" t="s">
        <v>243</v>
      </c>
      <c r="C110" s="167" t="s">
        <v>63</v>
      </c>
      <c r="E110" s="163">
        <v>1380.4</v>
      </c>
      <c r="F110" s="163">
        <v>1230</v>
      </c>
      <c r="G110" s="163">
        <v>1088</v>
      </c>
      <c r="H110" s="163">
        <v>1060.4</v>
      </c>
      <c r="I110" s="163">
        <v>1078.8</v>
      </c>
      <c r="J110" s="163">
        <v>1112.4</v>
      </c>
      <c r="K110" s="163">
        <v>1051.2</v>
      </c>
      <c r="L110" s="163">
        <v>1444</v>
      </c>
    </row>
    <row r="111" spans="2:12" ht="12.75" outlineLevel="1">
      <c r="B111" s="170" t="s">
        <v>244</v>
      </c>
      <c r="C111" s="167" t="s">
        <v>63</v>
      </c>
      <c r="E111" s="163">
        <v>1725.5</v>
      </c>
      <c r="F111" s="163">
        <v>1537.5</v>
      </c>
      <c r="G111" s="163">
        <v>1360</v>
      </c>
      <c r="H111" s="163">
        <v>1325.5</v>
      </c>
      <c r="I111" s="163">
        <v>1348.5</v>
      </c>
      <c r="J111" s="163">
        <v>1390.5</v>
      </c>
      <c r="K111" s="163">
        <v>1314</v>
      </c>
      <c r="L111" s="163">
        <v>1805</v>
      </c>
    </row>
    <row r="112" spans="2:12" ht="12.75" outlineLevel="1">
      <c r="B112" s="170" t="s">
        <v>247</v>
      </c>
      <c r="C112" s="167"/>
      <c r="E112" s="164"/>
      <c r="F112" s="164"/>
      <c r="G112" s="164"/>
      <c r="H112" s="164"/>
      <c r="I112" s="164"/>
      <c r="J112" s="164"/>
      <c r="K112" s="164"/>
      <c r="L112" s="164"/>
    </row>
    <row r="113" spans="2:12" ht="12.75" outlineLevel="1">
      <c r="B113" s="171" t="s">
        <v>227</v>
      </c>
      <c r="C113" s="168"/>
      <c r="E113" s="165"/>
      <c r="F113" s="165"/>
      <c r="G113" s="165"/>
      <c r="H113" s="165"/>
      <c r="I113" s="165"/>
      <c r="J113" s="165"/>
      <c r="K113" s="165"/>
      <c r="L113" s="165"/>
    </row>
    <row r="114" spans="2:12" ht="12.75" outlineLevel="1">
      <c r="B114" s="170" t="s">
        <v>247</v>
      </c>
      <c r="C114" s="167"/>
      <c r="E114" s="165"/>
      <c r="F114" s="165"/>
      <c r="G114" s="165"/>
      <c r="H114" s="165"/>
      <c r="I114" s="165"/>
      <c r="J114" s="165"/>
      <c r="K114" s="165"/>
      <c r="L114" s="165"/>
    </row>
    <row r="115" spans="2:12" ht="12.75" outlineLevel="1">
      <c r="B115" s="169" t="s">
        <v>348</v>
      </c>
      <c r="C115" s="167" t="s">
        <v>63</v>
      </c>
      <c r="E115" s="166">
        <f>'PAV (incl RV)'!D79</f>
        <v>5.16</v>
      </c>
      <c r="F115" s="166">
        <f>'PAV (incl RV)'!I79</f>
        <v>1.92</v>
      </c>
      <c r="G115" s="166">
        <f>'PAV (incl RV)'!S79</f>
        <v>6.23</v>
      </c>
      <c r="H115" s="166">
        <f>'PAV (incl RV)'!N79</f>
        <v>3.26</v>
      </c>
      <c r="I115" s="166">
        <f>'PAV (incl RV)'!X79</f>
        <v>7.8</v>
      </c>
      <c r="J115" s="166">
        <f>'PAV (incl RV)'!AC79</f>
        <v>10.6</v>
      </c>
      <c r="K115" s="166">
        <f>'PAV (incl RV)'!AH79</f>
        <v>6.24</v>
      </c>
      <c r="L115" s="166">
        <f>'PAV (incl RV)'!AM79</f>
        <v>2.54</v>
      </c>
    </row>
    <row r="116" spans="2:12" ht="12.75" outlineLevel="1">
      <c r="B116" s="169" t="s">
        <v>349</v>
      </c>
      <c r="C116" s="167" t="s">
        <v>63</v>
      </c>
      <c r="E116" s="166">
        <f>'PAV (incl RV)'!D80</f>
        <v>14.75</v>
      </c>
      <c r="F116" s="166">
        <f>'PAV (incl RV)'!I80</f>
        <v>19.2</v>
      </c>
      <c r="G116" s="166">
        <f>'PAV (incl RV)'!S80</f>
        <v>13.47</v>
      </c>
      <c r="H116" s="166">
        <f>'PAV (incl RV)'!N80</f>
        <v>26.4</v>
      </c>
      <c r="I116" s="166">
        <f>'PAV (incl RV)'!X80</f>
        <v>15.96</v>
      </c>
      <c r="J116" s="166">
        <f>'PAV (incl RV)'!AC80</f>
        <v>21.460000000000004</v>
      </c>
      <c r="K116" s="166">
        <f>'PAV (incl RV)'!AH80</f>
        <v>16.56</v>
      </c>
      <c r="L116" s="166">
        <f>'PAV (incl RV)'!AM80</f>
        <v>13.5</v>
      </c>
    </row>
    <row r="117" spans="2:12" ht="12.75" outlineLevel="1">
      <c r="B117" s="169" t="s">
        <v>350</v>
      </c>
      <c r="C117" s="167" t="s">
        <v>63</v>
      </c>
      <c r="E117" s="166">
        <f>'PAV (incl RV)'!D81</f>
        <v>14.75</v>
      </c>
      <c r="F117" s="166">
        <f>'PAV (incl RV)'!I81</f>
        <v>31.56</v>
      </c>
      <c r="G117" s="166">
        <f>'PAV (incl RV)'!S81</f>
        <v>13.470000000000002</v>
      </c>
      <c r="H117" s="166">
        <f>'PAV (incl RV)'!N81</f>
        <v>30.1</v>
      </c>
      <c r="I117" s="166">
        <f>'PAV (incl RV)'!X81</f>
        <v>26.393284754465824</v>
      </c>
      <c r="J117" s="166">
        <f>'PAV (incl RV)'!AC81</f>
        <v>34.8</v>
      </c>
      <c r="K117" s="166">
        <f>'PAV (incl RV)'!AH81</f>
        <v>32.88</v>
      </c>
      <c r="L117" s="166">
        <f>'PAV (incl RV)'!AM81</f>
        <v>35.713557790616754</v>
      </c>
    </row>
    <row r="118" spans="2:12" ht="12.75" outlineLevel="1">
      <c r="B118" s="169" t="s">
        <v>341</v>
      </c>
      <c r="C118" s="167" t="s">
        <v>63</v>
      </c>
      <c r="E118" s="166">
        <f>'PAV (incl RV)'!D82</f>
        <v>154.3185019455253</v>
      </c>
      <c r="F118" s="166">
        <f>'PAV (incl RV)'!I82</f>
        <v>112.69185645400592</v>
      </c>
      <c r="G118" s="166">
        <f>'PAV (incl RV)'!S82</f>
        <v>202.36999999999998</v>
      </c>
      <c r="H118" s="166">
        <f>'PAV (incl RV)'!N82</f>
        <v>143</v>
      </c>
      <c r="I118" s="166">
        <f>'PAV (incl RV)'!X82</f>
        <v>277.5956620392418</v>
      </c>
      <c r="J118" s="166">
        <f>'PAV (incl RV)'!AC82</f>
        <v>96.8948586820737</v>
      </c>
      <c r="K118" s="166">
        <f>'PAV (incl RV)'!AH82</f>
        <v>46.8</v>
      </c>
      <c r="L118" s="166">
        <f>'PAV (incl RV)'!AM82</f>
        <v>170.89106637829892</v>
      </c>
    </row>
    <row r="119" spans="2:12" ht="12.75" outlineLevel="1">
      <c r="B119" s="169" t="s">
        <v>343</v>
      </c>
      <c r="C119" s="167" t="s">
        <v>63</v>
      </c>
      <c r="E119" s="166">
        <f>'PAV (incl RV)'!D83</f>
        <v>404.55</v>
      </c>
      <c r="F119" s="166">
        <f>'PAV (incl RV)'!I83</f>
        <v>915.36</v>
      </c>
      <c r="G119" s="166">
        <f>'PAV (incl RV)'!S83</f>
        <v>581.83</v>
      </c>
      <c r="H119" s="166">
        <f>'PAV (incl RV)'!N83</f>
        <v>569</v>
      </c>
      <c r="I119" s="166">
        <f>'PAV (incl RV)'!X83</f>
        <v>1403.3600222038906</v>
      </c>
      <c r="J119" s="166">
        <f>'PAV (incl RV)'!AC83</f>
        <v>499.9700213561132</v>
      </c>
      <c r="K119" s="166">
        <f>'PAV (incl RV)'!AH83</f>
        <v>428.52239498232495</v>
      </c>
      <c r="L119" s="166">
        <f>'PAV (incl RV)'!AM83</f>
        <v>1295.457344249497</v>
      </c>
    </row>
    <row r="120" spans="2:12" ht="12.75" outlineLevel="1">
      <c r="B120" s="169" t="s">
        <v>345</v>
      </c>
      <c r="C120" s="167" t="s">
        <v>63</v>
      </c>
      <c r="E120" s="166">
        <f>'PAV (incl RV)'!D84</f>
        <v>0</v>
      </c>
      <c r="F120" s="166">
        <f>'PAV (incl RV)'!I84</f>
        <v>6097.2</v>
      </c>
      <c r="G120" s="166">
        <f>'PAV (incl RV)'!S84</f>
        <v>2464.3525264178775</v>
      </c>
      <c r="H120" s="166">
        <f>'PAV (incl RV)'!N84</f>
        <v>1573.597636833636</v>
      </c>
      <c r="I120" s="166">
        <f>'PAV (incl RV)'!X84</f>
        <v>7386.636438209591</v>
      </c>
      <c r="J120" s="166">
        <f>'PAV (incl RV)'!AC84</f>
        <v>0</v>
      </c>
      <c r="K120" s="166">
        <f>'PAV (incl RV)'!AH84</f>
        <v>5766</v>
      </c>
      <c r="L120" s="166">
        <f>'PAV (incl RV)'!AM84</f>
        <v>5073.28</v>
      </c>
    </row>
    <row r="121" spans="2:12" s="63" customFormat="1" ht="12.75" outlineLevel="1">
      <c r="B121" s="170"/>
      <c r="C121" s="170"/>
      <c r="E121" s="164"/>
      <c r="F121" s="164"/>
      <c r="G121" s="164"/>
      <c r="H121" s="164"/>
      <c r="I121" s="164"/>
      <c r="J121" s="164"/>
      <c r="K121" s="164"/>
      <c r="L121" s="164"/>
    </row>
    <row r="122" spans="2:12" ht="12.75" outlineLevel="1">
      <c r="B122" s="170" t="s">
        <v>230</v>
      </c>
      <c r="C122" s="167" t="s">
        <v>63</v>
      </c>
      <c r="E122" s="166">
        <f>'PAV (incl RV)'!D88</f>
        <v>0</v>
      </c>
      <c r="F122" s="166">
        <f>'PAV (incl RV)'!I88</f>
        <v>1.47</v>
      </c>
      <c r="G122" s="166">
        <f>'PAV (incl RV)'!S88</f>
        <v>2.86</v>
      </c>
      <c r="H122" s="166">
        <f>'PAV (incl RV)'!N88</f>
        <v>2.189893792904568</v>
      </c>
      <c r="I122" s="166">
        <f>'PAV (incl RV)'!X88</f>
        <v>1.44</v>
      </c>
      <c r="J122" s="166">
        <f>'PAV (incl RV)'!AC88</f>
        <v>11.45</v>
      </c>
      <c r="K122" s="166">
        <f>'PAV (incl RV)'!AH88</f>
        <v>5.28</v>
      </c>
      <c r="L122" s="166">
        <f>'PAV (incl RV)'!AM88</f>
        <v>3.76</v>
      </c>
    </row>
    <row r="123" spans="2:12" ht="12.75" outlineLevel="1">
      <c r="B123" s="170" t="s">
        <v>247</v>
      </c>
      <c r="C123" s="167"/>
      <c r="E123" s="165"/>
      <c r="F123" s="165"/>
      <c r="G123" s="165"/>
      <c r="H123" s="165"/>
      <c r="I123" s="165"/>
      <c r="J123" s="165"/>
      <c r="K123" s="165"/>
      <c r="L123" s="165"/>
    </row>
    <row r="124" spans="2:12" ht="12.75" outlineLevel="1">
      <c r="B124" s="171" t="s">
        <v>229</v>
      </c>
      <c r="C124" s="171"/>
      <c r="E124" s="165"/>
      <c r="F124" s="165"/>
      <c r="G124" s="165"/>
      <c r="H124" s="165"/>
      <c r="I124" s="165"/>
      <c r="J124" s="165"/>
      <c r="K124" s="165"/>
      <c r="L124" s="165"/>
    </row>
    <row r="125" spans="2:12" ht="12.75" outlineLevel="1">
      <c r="B125" s="171"/>
      <c r="C125" s="171"/>
      <c r="E125" s="165"/>
      <c r="F125" s="165"/>
      <c r="G125" s="165"/>
      <c r="H125" s="165"/>
      <c r="I125" s="165"/>
      <c r="J125" s="165"/>
      <c r="K125" s="165"/>
      <c r="L125" s="165"/>
    </row>
    <row r="126" spans="2:12" ht="12.75" outlineLevel="1">
      <c r="B126" s="172" t="s">
        <v>490</v>
      </c>
      <c r="C126" s="172"/>
      <c r="E126" s="165"/>
      <c r="F126" s="165"/>
      <c r="G126" s="165"/>
      <c r="H126" s="165"/>
      <c r="I126" s="165"/>
      <c r="J126" s="165"/>
      <c r="K126" s="165"/>
      <c r="L126" s="165"/>
    </row>
    <row r="127" spans="2:12" ht="12.75" outlineLevel="1">
      <c r="B127" s="169" t="s">
        <v>348</v>
      </c>
      <c r="C127" s="167" t="s">
        <v>63</v>
      </c>
      <c r="E127" s="126">
        <f>'EAV (incl RV)'!D86</f>
        <v>350</v>
      </c>
      <c r="F127" s="126">
        <f>'EAV (incl RV)'!I86</f>
        <v>284.07</v>
      </c>
      <c r="G127" s="127">
        <f>'EAV (incl RV)'!S86</f>
        <v>345.18</v>
      </c>
      <c r="H127" s="128">
        <f>'EAV (incl RV)'!N86</f>
        <v>296</v>
      </c>
      <c r="I127" s="126">
        <f>'EAV (incl RV)'!X86</f>
        <v>329.4</v>
      </c>
      <c r="J127" s="127">
        <f>'EAV (incl RV)'!AC86</f>
        <v>363</v>
      </c>
      <c r="K127" s="127">
        <f>'EAV (incl RV)'!AH86</f>
        <v>327.86</v>
      </c>
      <c r="L127" s="128">
        <f>'EAV (incl RV)'!AM86</f>
        <v>356.53</v>
      </c>
    </row>
    <row r="128" spans="2:12" ht="12.75" outlineLevel="1">
      <c r="B128" s="169" t="s">
        <v>349</v>
      </c>
      <c r="C128" s="167" t="s">
        <v>63</v>
      </c>
      <c r="E128" s="126">
        <f>'EAV (incl RV)'!D87</f>
        <v>585</v>
      </c>
      <c r="F128" s="126">
        <f>'EAV (incl RV)'!I87</f>
        <v>539.31</v>
      </c>
      <c r="G128" s="127">
        <f>'EAV (incl RV)'!S87</f>
        <v>542.6</v>
      </c>
      <c r="H128" s="128">
        <f>'EAV (incl RV)'!N87</f>
        <v>568</v>
      </c>
      <c r="I128" s="126">
        <f>'EAV (incl RV)'!X87</f>
        <v>546.7</v>
      </c>
      <c r="J128" s="127">
        <f>'EAV (incl RV)'!AC87</f>
        <v>615</v>
      </c>
      <c r="K128" s="127">
        <f>'EAV (incl RV)'!AH87</f>
        <v>479.57</v>
      </c>
      <c r="L128" s="128">
        <f>'EAV (incl RV)'!AM87</f>
        <v>678.65</v>
      </c>
    </row>
    <row r="129" spans="2:12" ht="12.75" outlineLevel="1">
      <c r="B129" s="169" t="s">
        <v>350</v>
      </c>
      <c r="C129" s="167" t="s">
        <v>63</v>
      </c>
      <c r="E129" s="126">
        <f>'EAV (incl RV)'!D88</f>
        <v>990.7999999999998</v>
      </c>
      <c r="F129" s="126">
        <f>'EAV (incl RV)'!I88</f>
        <v>863.2800980392157</v>
      </c>
      <c r="G129" s="127">
        <f>'EAV (incl RV)'!S88</f>
        <v>771.9972350230414</v>
      </c>
      <c r="H129" s="128">
        <f>'EAV (incl RV)'!N88</f>
        <v>790.9105099508354</v>
      </c>
      <c r="I129" s="126">
        <f>'EAV (incl RV)'!X88</f>
        <v>916.9934644995723</v>
      </c>
      <c r="J129" s="127">
        <f>'EAV (incl RV)'!AC88</f>
        <v>945.6470588235294</v>
      </c>
      <c r="K129" s="127">
        <f>'EAV (incl RV)'!AH88</f>
        <v>800.5396111319483</v>
      </c>
      <c r="L129" s="128">
        <f>'EAV (incl RV)'!AM88</f>
        <v>920.2499115044247</v>
      </c>
    </row>
    <row r="130" spans="2:12" ht="12.75" outlineLevel="1">
      <c r="B130" s="169" t="s">
        <v>341</v>
      </c>
      <c r="C130" s="167" t="s">
        <v>63</v>
      </c>
      <c r="E130" s="126">
        <f>'EAV (incl RV)'!D89</f>
        <v>7788.407023221955</v>
      </c>
      <c r="F130" s="126">
        <f>'EAV (incl RV)'!I89</f>
        <v>5461.872244897959</v>
      </c>
      <c r="G130" s="127">
        <f>'EAV (incl RV)'!S89</f>
        <v>5772.253454545455</v>
      </c>
      <c r="H130" s="128">
        <f>'EAV (incl RV)'!N89</f>
        <v>4842.556381900765</v>
      </c>
      <c r="I130" s="126">
        <f>'EAV (incl RV)'!X89</f>
        <v>7412.166608280255</v>
      </c>
      <c r="J130" s="127">
        <f>'EAV (incl RV)'!AC89</f>
        <v>5607.777777777777</v>
      </c>
      <c r="K130" s="127">
        <f>'EAV (incl RV)'!AH89</f>
        <v>7177.5757482042045</v>
      </c>
      <c r="L130" s="128">
        <f>'EAV (incl RV)'!AM89</f>
        <v>5435.89</v>
      </c>
    </row>
    <row r="131" spans="2:12" ht="12.75" outlineLevel="1">
      <c r="B131" s="169" t="s">
        <v>216</v>
      </c>
      <c r="C131" s="167" t="s">
        <v>63</v>
      </c>
      <c r="E131" s="126">
        <f>'EAV (incl RV)'!D90</f>
        <v>0</v>
      </c>
      <c r="F131" s="126">
        <f>'EAV (incl RV)'!I90</f>
        <v>75115.32090909091</v>
      </c>
      <c r="G131" s="127">
        <f>'EAV (incl RV)'!S90</f>
        <v>22321.52</v>
      </c>
      <c r="H131" s="128">
        <f>'EAV (incl RV)'!N90</f>
        <v>34364.06221852846</v>
      </c>
      <c r="I131" s="126">
        <f>'EAV (incl RV)'!X90</f>
        <v>89048.88776470587</v>
      </c>
      <c r="J131" s="127">
        <f>'EAV (incl RV)'!AC90</f>
        <v>0</v>
      </c>
      <c r="K131" s="127">
        <f>'EAV (incl RV)'!AH90</f>
        <v>76237.54539410151</v>
      </c>
      <c r="L131" s="128">
        <f>'EAV (incl RV)'!AM90</f>
        <v>50208.40185185185</v>
      </c>
    </row>
    <row r="132" spans="2:12" s="63" customFormat="1" ht="12.75" outlineLevel="1">
      <c r="B132" s="44"/>
      <c r="C132" s="44"/>
      <c r="E132" s="181"/>
      <c r="F132" s="181"/>
      <c r="G132" s="181"/>
      <c r="H132" s="181"/>
      <c r="I132" s="181"/>
      <c r="J132" s="181"/>
      <c r="K132" s="181"/>
      <c r="L132" s="181"/>
    </row>
    <row r="133" spans="2:12" s="63" customFormat="1" ht="12.75" outlineLevel="1">
      <c r="B133" s="172" t="s">
        <v>495</v>
      </c>
      <c r="C133" s="172"/>
      <c r="E133" s="181"/>
      <c r="F133" s="181"/>
      <c r="G133" s="181"/>
      <c r="H133" s="181"/>
      <c r="I133" s="181"/>
      <c r="J133" s="181"/>
      <c r="K133" s="181"/>
      <c r="L133" s="181"/>
    </row>
    <row r="134" spans="2:12" ht="12.75" outlineLevel="1">
      <c r="B134" s="169" t="s">
        <v>348</v>
      </c>
      <c r="C134" s="167" t="s">
        <v>63</v>
      </c>
      <c r="E134" s="126">
        <f>'EAV (incl RV)'!D120</f>
        <v>17.36</v>
      </c>
      <c r="F134" s="126">
        <f>'EAV (incl RV)'!I120</f>
        <v>14.07</v>
      </c>
      <c r="G134" s="127">
        <f>'EAV (incl RV)'!S120</f>
        <v>23.04</v>
      </c>
      <c r="H134" s="128">
        <f>'EAV (incl RV)'!N120</f>
        <v>14</v>
      </c>
      <c r="I134" s="126">
        <f>'EAV (incl RV)'!X120</f>
        <v>16.35</v>
      </c>
      <c r="J134" s="127">
        <f>'EAV (incl RV)'!AC120</f>
        <v>18.09</v>
      </c>
      <c r="K134" s="127">
        <f>'EAV (incl RV)'!AH120</f>
        <v>15.23</v>
      </c>
      <c r="L134" s="128">
        <f>'EAV (incl RV)'!AM120</f>
        <v>17.67</v>
      </c>
    </row>
    <row r="135" spans="2:12" ht="12.75" outlineLevel="1">
      <c r="B135" s="169" t="s">
        <v>349</v>
      </c>
      <c r="C135" s="167" t="s">
        <v>63</v>
      </c>
      <c r="E135" s="126">
        <f>'EAV (incl RV)'!D121</f>
        <v>17.66</v>
      </c>
      <c r="F135" s="126">
        <f>'EAV (incl RV)'!I121</f>
        <v>22.89</v>
      </c>
      <c r="G135" s="127">
        <f>'EAV (incl RV)'!S121</f>
        <v>23.92</v>
      </c>
      <c r="H135" s="128">
        <f>'EAV (incl RV)'!N121</f>
        <v>16</v>
      </c>
      <c r="I135" s="126">
        <f>'EAV (incl RV)'!X121</f>
        <v>21.6</v>
      </c>
      <c r="J135" s="127">
        <f>'EAV (incl RV)'!AC121</f>
        <v>21.2</v>
      </c>
      <c r="K135" s="127">
        <f>'EAV (incl RV)'!AH121</f>
        <v>21.06</v>
      </c>
      <c r="L135" s="128">
        <f>'EAV (incl RV)'!AM121</f>
        <v>25.53</v>
      </c>
    </row>
    <row r="136" spans="2:12" ht="12.75" outlineLevel="1">
      <c r="B136" s="169" t="s">
        <v>350</v>
      </c>
      <c r="C136" s="167" t="s">
        <v>63</v>
      </c>
      <c r="E136" s="126">
        <f>'EAV (incl RV)'!D122</f>
        <v>24.73</v>
      </c>
      <c r="F136" s="126">
        <f>'EAV (incl RV)'!I122</f>
        <v>29.27078787878788</v>
      </c>
      <c r="G136" s="127">
        <f>'EAV (incl RV)'!S122</f>
        <v>39.8344052195519</v>
      </c>
      <c r="H136" s="128">
        <f>'EAV (incl RV)'!N122</f>
        <v>21</v>
      </c>
      <c r="I136" s="126">
        <f>'EAV (incl RV)'!X122</f>
        <v>28.695361297897318</v>
      </c>
      <c r="J136" s="127">
        <f>'EAV (incl RV)'!AC122</f>
        <v>27.19037037037037</v>
      </c>
      <c r="K136" s="127">
        <f>'EAV (incl RV)'!AH122</f>
        <v>29.02403589421483</v>
      </c>
      <c r="L136" s="128">
        <f>'EAV (incl RV)'!AM122</f>
        <v>29.956037116111023</v>
      </c>
    </row>
    <row r="137" spans="2:12" ht="12.75" outlineLevel="1">
      <c r="B137" s="169" t="s">
        <v>341</v>
      </c>
      <c r="C137" s="167" t="s">
        <v>63</v>
      </c>
      <c r="E137" s="126">
        <f>'EAV (incl RV)'!D123</f>
        <v>43.60522982874321</v>
      </c>
      <c r="F137" s="126">
        <f>'EAV (incl RV)'!I123</f>
        <v>48.5005477472744</v>
      </c>
      <c r="G137" s="127">
        <f>'EAV (incl RV)'!S123</f>
        <v>55.6281318893831</v>
      </c>
      <c r="H137" s="128">
        <f>'EAV (incl RV)'!N123</f>
        <v>30.752076997041588</v>
      </c>
      <c r="I137" s="126">
        <f>'EAV (incl RV)'!X123</f>
        <v>60.51990983319725</v>
      </c>
      <c r="J137" s="127">
        <f>'EAV (incl RV)'!AC123</f>
        <v>45.276984126984125</v>
      </c>
      <c r="K137" s="127">
        <f>'EAV (incl RV)'!AH123</f>
        <v>50.591065082043706</v>
      </c>
      <c r="L137" s="128">
        <f>'EAV (incl RV)'!AM123</f>
        <v>77.93368499701135</v>
      </c>
    </row>
    <row r="138" spans="2:12" ht="12.75" outlineLevel="1">
      <c r="B138" s="169" t="s">
        <v>216</v>
      </c>
      <c r="C138" s="167" t="s">
        <v>63</v>
      </c>
      <c r="E138" s="126">
        <f>'EAV (incl RV)'!D124</f>
        <v>0</v>
      </c>
      <c r="F138" s="126">
        <f>'EAV (incl RV)'!I124</f>
        <v>113.88165415791055</v>
      </c>
      <c r="G138" s="127">
        <f>'EAV (incl RV)'!S124</f>
        <v>0</v>
      </c>
      <c r="H138" s="128">
        <f>'EAV (incl RV)'!N124</f>
        <v>102.20407298093771</v>
      </c>
      <c r="I138" s="126">
        <f>'EAV (incl RV)'!X124</f>
        <v>130.4542727184614</v>
      </c>
      <c r="J138" s="127">
        <f>'EAV (incl RV)'!AC124</f>
        <v>0</v>
      </c>
      <c r="K138" s="127">
        <f>'EAV (incl RV)'!AH124</f>
        <v>138.61673789847111</v>
      </c>
      <c r="L138" s="128">
        <f>'EAV (incl RV)'!AM124</f>
        <v>149.74433047192775</v>
      </c>
    </row>
    <row r="139" spans="2:12" ht="12.75">
      <c r="B139" s="167"/>
      <c r="C139" s="167"/>
      <c r="E139" s="165"/>
      <c r="F139" s="165"/>
      <c r="G139" s="165"/>
      <c r="H139" s="165"/>
      <c r="I139" s="165"/>
      <c r="J139" s="165"/>
      <c r="K139" s="165"/>
      <c r="L139" s="165"/>
    </row>
    <row r="140" spans="3:12" ht="12.75">
      <c r="C140" s="173"/>
      <c r="E140" s="165"/>
      <c r="F140" s="165"/>
      <c r="G140" s="165"/>
      <c r="H140" s="165"/>
      <c r="I140" s="165"/>
      <c r="J140" s="165"/>
      <c r="K140" s="165"/>
      <c r="L140" s="165"/>
    </row>
    <row r="141" spans="2:12" s="60" customFormat="1" ht="12.75">
      <c r="B141" s="59" t="s">
        <v>187</v>
      </c>
      <c r="C141" s="59"/>
      <c r="E141" s="182"/>
      <c r="F141" s="182"/>
      <c r="G141" s="182"/>
      <c r="H141" s="182"/>
      <c r="I141" s="182"/>
      <c r="J141" s="182"/>
      <c r="K141" s="182"/>
      <c r="L141" s="182"/>
    </row>
    <row r="142" spans="3:12" ht="12.75">
      <c r="C142" s="173"/>
      <c r="E142" s="165"/>
      <c r="F142" s="165"/>
      <c r="G142" s="165"/>
      <c r="H142" s="165"/>
      <c r="I142" s="165"/>
      <c r="J142" s="165"/>
      <c r="K142" s="165"/>
      <c r="L142" s="165"/>
    </row>
    <row r="143" spans="2:13" ht="12.75">
      <c r="B143" s="173" t="s">
        <v>382</v>
      </c>
      <c r="C143" s="167" t="s">
        <v>63</v>
      </c>
      <c r="E143" s="179">
        <v>-29310.648737196556</v>
      </c>
      <c r="F143" s="179">
        <v>466787.37681000185</v>
      </c>
      <c r="G143" s="179">
        <v>683275.0639149987</v>
      </c>
      <c r="H143" s="179">
        <v>2073582.404094302</v>
      </c>
      <c r="I143" s="179">
        <v>2685292.182673578</v>
      </c>
      <c r="J143" s="179">
        <v>-27768.922611225895</v>
      </c>
      <c r="K143" s="179">
        <v>723191.9831999888</v>
      </c>
      <c r="L143" s="179">
        <v>301579.90154999413</v>
      </c>
      <c r="M143" s="37"/>
    </row>
    <row r="144" spans="3:12" ht="12.75">
      <c r="C144" s="173"/>
      <c r="E144" s="165"/>
      <c r="F144" s="165"/>
      <c r="G144" s="165"/>
      <c r="H144" s="165"/>
      <c r="I144" s="165"/>
      <c r="J144" s="165"/>
      <c r="K144" s="165"/>
      <c r="L144" s="165"/>
    </row>
    <row r="145" spans="2:13" ht="12.75">
      <c r="B145" s="174" t="s">
        <v>188</v>
      </c>
      <c r="C145" s="167" t="s">
        <v>63</v>
      </c>
      <c r="E145" s="180">
        <f>Wegingsfactoren!E9*Rekenvolumes!E10+Wegingsfactoren!E15*Rekenvolumes!E16+Wegingsfactoren!E21*Rekenvolumes!E22+Wegingsfactoren!E27*Rekenvolumes!E28+Wegingsfactoren!E33*Rekenvolumes!E34+Wegingsfactoren!E39*Rekenvolumes!E40+Wegingsfactoren!E45*Rekenvolumes!E46+Wegingsfactoren!E52*Rekenvolumes!E53+Wegingsfactoren!E59*Rekenvolumes!E60+Wegingsfactoren!E66*Rekenvolumes!E67+Wegingsfactoren!E102*Rekenvolumes!E103+Wegingsfactoren!E103*Rekenvolumes!E104</f>
        <v>1025355.6</v>
      </c>
      <c r="F145" s="180">
        <f>Wegingsfactoren!F9*Rekenvolumes!F10+Wegingsfactoren!F15*Rekenvolumes!F16+Wegingsfactoren!F21*Rekenvolumes!F22+Wegingsfactoren!F27*Rekenvolumes!F28+Wegingsfactoren!F33*Rekenvolumes!F34+Wegingsfactoren!F39*Rekenvolumes!F40+Wegingsfactoren!F45*Rekenvolumes!F46+Wegingsfactoren!F52*Rekenvolumes!F53+Wegingsfactoren!F59*Rekenvolumes!F60+Wegingsfactoren!F66*Rekenvolumes!F67+Wegingsfactoren!F102*Rekenvolumes!F103+Wegingsfactoren!F103*Rekenvolumes!F104</f>
        <v>4315456.8100000005</v>
      </c>
      <c r="G145" s="180">
        <f>Wegingsfactoren!G9*Rekenvolumes!G10+Wegingsfactoren!G15*Rekenvolumes!G16+Wegingsfactoren!G21*Rekenvolumes!G22+Wegingsfactoren!G27*Rekenvolumes!G28+Wegingsfactoren!G33*Rekenvolumes!G34+Wegingsfactoren!G39*Rekenvolumes!G40+Wegingsfactoren!G45*Rekenvolumes!G46+Wegingsfactoren!G52*Rekenvolumes!G53+Wegingsfactoren!G59*Rekenvolumes!G60+Wegingsfactoren!G66*Rekenvolumes!G67+Wegingsfactoren!G102*Rekenvolumes!G103+Wegingsfactoren!G103*Rekenvolumes!G104</f>
        <v>2407462.665265859</v>
      </c>
      <c r="H145" s="180">
        <f>Wegingsfactoren!H9*Rekenvolumes!H10+Wegingsfactoren!H15*Rekenvolumes!H16+Wegingsfactoren!H21*Rekenvolumes!H22+Wegingsfactoren!H27*Rekenvolumes!H28+Wegingsfactoren!H33*Rekenvolumes!H34+Wegingsfactoren!H39*Rekenvolumes!H40+Wegingsfactoren!H45*Rekenvolumes!H46+Wegingsfactoren!H52*Rekenvolumes!H53+Wegingsfactoren!H59*Rekenvolumes!H60+Wegingsfactoren!H66*Rekenvolumes!H67+Wegingsfactoren!H102*Rekenvolumes!H103+Wegingsfactoren!H103*Rekenvolumes!H104</f>
        <v>55313773.73168816</v>
      </c>
      <c r="I145" s="180">
        <f>Wegingsfactoren!I9*Rekenvolumes!I10+Wegingsfactoren!I15*Rekenvolumes!I16+Wegingsfactoren!I21*Rekenvolumes!I22+Wegingsfactoren!I27*Rekenvolumes!I28+Wegingsfactoren!I33*Rekenvolumes!I34+Wegingsfactoren!I39*Rekenvolumes!I40+Wegingsfactoren!I45*Rekenvolumes!I46+Wegingsfactoren!I52*Rekenvolumes!I53+Wegingsfactoren!I59*Rekenvolumes!I60+Wegingsfactoren!I66*Rekenvolumes!I67+Wegingsfactoren!I102*Rekenvolumes!I103+Wegingsfactoren!I103*Rekenvolumes!I104</f>
        <v>59786451.397064134</v>
      </c>
      <c r="J145" s="180">
        <f>Wegingsfactoren!J9*Rekenvolumes!J10+Wegingsfactoren!J15*Rekenvolumes!J16+Wegingsfactoren!J21*Rekenvolumes!J22+Wegingsfactoren!J27*Rekenvolumes!J28+Wegingsfactoren!J33*Rekenvolumes!J34+Wegingsfactoren!J39*Rekenvolumes!J40+Wegingsfactoren!J45*Rekenvolumes!J46+Wegingsfactoren!J52*Rekenvolumes!J53+Wegingsfactoren!J59*Rekenvolumes!J60+Wegingsfactoren!J66*Rekenvolumes!J67+Wegingsfactoren!J102*Rekenvolumes!J103+Wegingsfactoren!J103*Rekenvolumes!J104</f>
        <v>622035.5399999999</v>
      </c>
      <c r="K145" s="180">
        <f>Wegingsfactoren!K9*Rekenvolumes!K10+Wegingsfactoren!K15*Rekenvolumes!K16+Wegingsfactoren!K21*Rekenvolumes!K22+Wegingsfactoren!K27*Rekenvolumes!K28+Wegingsfactoren!K33*Rekenvolumes!K34+Wegingsfactoren!K39*Rekenvolumes!K40+Wegingsfactoren!K45*Rekenvolumes!K46+Wegingsfactoren!K52*Rekenvolumes!K53+Wegingsfactoren!K59*Rekenvolumes!K60+Wegingsfactoren!K66*Rekenvolumes!K67+Wegingsfactoren!K102*Rekenvolumes!K103+Wegingsfactoren!K103*Rekenvolumes!K104</f>
        <v>41843074.19789001</v>
      </c>
      <c r="L145" s="180">
        <f>Wegingsfactoren!L9*Rekenvolumes!L10+Wegingsfactoren!L15*Rekenvolumes!L16+Wegingsfactoren!L21*Rekenvolumes!L22+Wegingsfactoren!L27*Rekenvolumes!L28+Wegingsfactoren!L33*Rekenvolumes!L34+Wegingsfactoren!L39*Rekenvolumes!L40+Wegingsfactoren!L45*Rekenvolumes!L46+Wegingsfactoren!L52*Rekenvolumes!L53+Wegingsfactoren!L59*Rekenvolumes!L60+Wegingsfactoren!L66*Rekenvolumes!L67+Wegingsfactoren!L102*Rekenvolumes!L103+Wegingsfactoren!L103*Rekenvolumes!L104</f>
        <v>1511099.9202194777</v>
      </c>
      <c r="M145" s="37"/>
    </row>
    <row r="146" spans="2:13" ht="12.75">
      <c r="B146" s="61" t="s">
        <v>386</v>
      </c>
      <c r="C146" s="167" t="s">
        <v>63</v>
      </c>
      <c r="E146" s="180">
        <f>SUMPRODUCT(E9:E122,Rekenvolumes!E10:E123)-E145</f>
        <v>14023209.40386498</v>
      </c>
      <c r="F146" s="180">
        <f>SUMPRODUCT(F9:F122,Rekenvolumes!F10:F123)-F145</f>
        <v>49515824.38972902</v>
      </c>
      <c r="G146" s="180">
        <f>SUMPRODUCT(G9:G122,Rekenvolumes!G10:G123)-G145</f>
        <v>25494540.761710104</v>
      </c>
      <c r="H146" s="180">
        <f>SUMPRODUCT(H9:H122,Rekenvolumes!H10:H123)-H145</f>
        <v>664570640.7173401</v>
      </c>
      <c r="I146" s="180">
        <f>SUMPRODUCT(I9:I122,Rekenvolumes!I10:I123)-I145</f>
        <v>687133926.4856452</v>
      </c>
      <c r="J146" s="180">
        <f>SUMPRODUCT(J9:J122,Rekenvolumes!J10:J123)-J145</f>
        <v>8139942.297134704</v>
      </c>
      <c r="K146" s="180">
        <f>SUMPRODUCT(K9:K122,Rekenvolumes!K10:K123)-K145</f>
        <v>471580541.0957416</v>
      </c>
      <c r="L146" s="180">
        <f>SUMPRODUCT(L9:L122,Rekenvolumes!L10:L123)-L145</f>
        <v>35724752.18782326</v>
      </c>
      <c r="M146" s="37"/>
    </row>
    <row r="147" spans="2:13" ht="12.75">
      <c r="B147" s="174" t="s">
        <v>12</v>
      </c>
      <c r="C147" s="167" t="s">
        <v>63</v>
      </c>
      <c r="E147" s="180">
        <f>E146-E143</f>
        <v>14052520.052602176</v>
      </c>
      <c r="F147" s="180">
        <f aca="true" t="shared" si="0" ref="F147:L147">F146-F143</f>
        <v>49049037.01291902</v>
      </c>
      <c r="G147" s="180">
        <f>G146-G143</f>
        <v>24811265.697795104</v>
      </c>
      <c r="H147" s="180">
        <f>H146-H143</f>
        <v>662497058.3132458</v>
      </c>
      <c r="I147" s="180">
        <f t="shared" si="0"/>
        <v>684448634.3029716</v>
      </c>
      <c r="J147" s="180">
        <f t="shared" si="0"/>
        <v>8167711.21974593</v>
      </c>
      <c r="K147" s="180">
        <f>K146-K143</f>
        <v>470857349.1125416</v>
      </c>
      <c r="L147" s="180">
        <f t="shared" si="0"/>
        <v>35423172.28627326</v>
      </c>
      <c r="M147" s="37"/>
    </row>
    <row r="148" spans="3:12" ht="12.75">
      <c r="C148" s="173"/>
      <c r="E148" s="165"/>
      <c r="F148" s="165"/>
      <c r="G148" s="165"/>
      <c r="H148" s="165"/>
      <c r="I148" s="165"/>
      <c r="J148" s="165"/>
      <c r="K148" s="165"/>
      <c r="L148" s="165"/>
    </row>
    <row r="149" spans="2:12" s="60" customFormat="1" ht="12.75">
      <c r="B149" s="59" t="s">
        <v>189</v>
      </c>
      <c r="C149" s="59"/>
      <c r="E149" s="182"/>
      <c r="F149" s="182"/>
      <c r="G149" s="182"/>
      <c r="H149" s="182"/>
      <c r="I149" s="182"/>
      <c r="J149" s="182"/>
      <c r="K149" s="182"/>
      <c r="L149" s="182"/>
    </row>
    <row r="150" spans="3:12" ht="12.75">
      <c r="C150" s="173"/>
      <c r="E150" s="165"/>
      <c r="F150" s="165"/>
      <c r="G150" s="165"/>
      <c r="H150" s="165"/>
      <c r="I150" s="165"/>
      <c r="J150" s="165"/>
      <c r="K150" s="165"/>
      <c r="L150" s="165"/>
    </row>
    <row r="151" spans="2:12" ht="12.75" outlineLevel="1">
      <c r="B151" s="279" t="s">
        <v>504</v>
      </c>
      <c r="C151" s="167"/>
      <c r="E151" s="165"/>
      <c r="F151" s="165"/>
      <c r="G151" s="165"/>
      <c r="H151" s="165"/>
      <c r="I151" s="165"/>
      <c r="J151" s="165"/>
      <c r="K151" s="165"/>
      <c r="L151" s="165"/>
    </row>
    <row r="152" spans="2:12" ht="12.75" outlineLevel="1">
      <c r="B152" s="43"/>
      <c r="C152" s="167"/>
      <c r="E152" s="165"/>
      <c r="F152" s="165"/>
      <c r="G152" s="165"/>
      <c r="H152" s="165"/>
      <c r="I152" s="165"/>
      <c r="J152" s="165"/>
      <c r="K152" s="165"/>
      <c r="L152" s="165"/>
    </row>
    <row r="153" spans="2:12" ht="12.75" outlineLevel="1">
      <c r="B153" s="172" t="s">
        <v>198</v>
      </c>
      <c r="C153" s="167"/>
      <c r="E153" s="165"/>
      <c r="F153" s="165"/>
      <c r="G153" s="165"/>
      <c r="H153" s="165"/>
      <c r="I153" s="165"/>
      <c r="J153" s="165"/>
      <c r="K153" s="165"/>
      <c r="L153" s="165"/>
    </row>
    <row r="154" spans="2:12" ht="12.75" outlineLevel="1">
      <c r="B154" s="170" t="s">
        <v>199</v>
      </c>
      <c r="C154" s="167" t="s">
        <v>63</v>
      </c>
      <c r="E154" s="166">
        <f>E9</f>
        <v>0</v>
      </c>
      <c r="F154" s="166">
        <f aca="true" t="shared" si="1" ref="F154:L154">F9</f>
        <v>0</v>
      </c>
      <c r="G154" s="166">
        <f>G9</f>
        <v>0</v>
      </c>
      <c r="H154" s="166">
        <f>H9</f>
        <v>0</v>
      </c>
      <c r="I154" s="166">
        <f t="shared" si="1"/>
        <v>2760</v>
      </c>
      <c r="J154" s="166">
        <f t="shared" si="1"/>
        <v>0</v>
      </c>
      <c r="K154" s="166">
        <f>K9</f>
        <v>2760</v>
      </c>
      <c r="L154" s="166">
        <f t="shared" si="1"/>
        <v>0</v>
      </c>
    </row>
    <row r="155" spans="2:12" ht="12.75" outlineLevel="1">
      <c r="B155" s="170" t="s">
        <v>200</v>
      </c>
      <c r="C155" s="167" t="s">
        <v>63</v>
      </c>
      <c r="E155" s="166">
        <f>E10*(E$147/E$146)</f>
        <v>0</v>
      </c>
      <c r="F155" s="166">
        <f aca="true" t="shared" si="2" ref="E155:L157">F10*(F$147/F$146)</f>
        <v>0</v>
      </c>
      <c r="G155" s="166">
        <f t="shared" si="2"/>
        <v>0</v>
      </c>
      <c r="H155" s="166">
        <f t="shared" si="2"/>
        <v>0</v>
      </c>
      <c r="I155" s="166">
        <f t="shared" si="2"/>
        <v>6.813269550779675</v>
      </c>
      <c r="J155" s="166">
        <f t="shared" si="2"/>
        <v>0</v>
      </c>
      <c r="K155" s="166">
        <f t="shared" si="2"/>
        <v>8.506934160424542</v>
      </c>
      <c r="L155" s="166">
        <f t="shared" si="2"/>
        <v>0</v>
      </c>
    </row>
    <row r="156" spans="2:12" ht="12.75" outlineLevel="1">
      <c r="B156" s="170" t="s">
        <v>201</v>
      </c>
      <c r="C156" s="167" t="s">
        <v>63</v>
      </c>
      <c r="E156" s="166">
        <f t="shared" si="2"/>
        <v>0</v>
      </c>
      <c r="F156" s="166">
        <f t="shared" si="2"/>
        <v>0</v>
      </c>
      <c r="G156" s="166">
        <f t="shared" si="2"/>
        <v>0</v>
      </c>
      <c r="H156" s="166">
        <f t="shared" si="2"/>
        <v>0</v>
      </c>
      <c r="I156" s="166">
        <f t="shared" si="2"/>
        <v>0.6275379849402333</v>
      </c>
      <c r="J156" s="166">
        <f t="shared" si="2"/>
        <v>0</v>
      </c>
      <c r="K156" s="166">
        <f t="shared" si="2"/>
        <v>0.8486964831409463</v>
      </c>
      <c r="L156" s="166">
        <f t="shared" si="2"/>
        <v>0</v>
      </c>
    </row>
    <row r="157" spans="2:12" ht="12.75" outlineLevel="1">
      <c r="B157" s="170" t="s">
        <v>203</v>
      </c>
      <c r="C157" s="167" t="s">
        <v>63</v>
      </c>
      <c r="E157" s="166">
        <f t="shared" si="2"/>
        <v>0</v>
      </c>
      <c r="F157" s="166">
        <f t="shared" si="2"/>
        <v>0</v>
      </c>
      <c r="G157" s="166">
        <f t="shared" si="2"/>
        <v>0</v>
      </c>
      <c r="H157" s="166">
        <f t="shared" si="2"/>
        <v>0</v>
      </c>
      <c r="I157" s="166">
        <f t="shared" si="2"/>
        <v>0</v>
      </c>
      <c r="J157" s="166">
        <f t="shared" si="2"/>
        <v>0</v>
      </c>
      <c r="K157" s="166">
        <f t="shared" si="2"/>
        <v>0</v>
      </c>
      <c r="L157" s="166">
        <f t="shared" si="2"/>
        <v>0</v>
      </c>
    </row>
    <row r="158" spans="2:12" ht="12.75" outlineLevel="1">
      <c r="B158" s="170" t="s">
        <v>247</v>
      </c>
      <c r="C158" s="167"/>
      <c r="E158" s="164"/>
      <c r="F158" s="164"/>
      <c r="G158" s="164"/>
      <c r="H158" s="164"/>
      <c r="I158" s="164"/>
      <c r="J158" s="164"/>
      <c r="K158" s="164"/>
      <c r="L158" s="164"/>
    </row>
    <row r="159" spans="2:12" ht="12.75" outlineLevel="1">
      <c r="B159" s="172" t="s">
        <v>204</v>
      </c>
      <c r="C159" s="167"/>
      <c r="E159" s="164"/>
      <c r="F159" s="164"/>
      <c r="G159" s="164"/>
      <c r="H159" s="164"/>
      <c r="I159" s="164"/>
      <c r="J159" s="164"/>
      <c r="K159" s="164"/>
      <c r="L159" s="164"/>
    </row>
    <row r="160" spans="2:12" ht="12.75" outlineLevel="1">
      <c r="B160" s="170" t="s">
        <v>199</v>
      </c>
      <c r="C160" s="167" t="s">
        <v>63</v>
      </c>
      <c r="E160" s="166">
        <f aca="true" t="shared" si="3" ref="E160:L160">E15</f>
        <v>0</v>
      </c>
      <c r="F160" s="166">
        <f t="shared" si="3"/>
        <v>0</v>
      </c>
      <c r="G160" s="166">
        <f>G15</f>
        <v>0</v>
      </c>
      <c r="H160" s="166">
        <f>H15</f>
        <v>0</v>
      </c>
      <c r="I160" s="166">
        <f t="shared" si="3"/>
        <v>0</v>
      </c>
      <c r="J160" s="166">
        <f t="shared" si="3"/>
        <v>0</v>
      </c>
      <c r="K160" s="166">
        <f>K15</f>
        <v>2760</v>
      </c>
      <c r="L160" s="166">
        <f t="shared" si="3"/>
        <v>0</v>
      </c>
    </row>
    <row r="161" spans="2:12" ht="12.75" outlineLevel="1">
      <c r="B161" s="170" t="s">
        <v>200</v>
      </c>
      <c r="C161" s="167" t="s">
        <v>63</v>
      </c>
      <c r="E161" s="166">
        <f aca="true" t="shared" si="4" ref="E161:L163">E16*(E$147/E$146)</f>
        <v>0</v>
      </c>
      <c r="F161" s="166">
        <f t="shared" si="4"/>
        <v>0</v>
      </c>
      <c r="G161" s="166">
        <f t="shared" si="4"/>
        <v>0</v>
      </c>
      <c r="H161" s="166">
        <f t="shared" si="4"/>
        <v>0</v>
      </c>
      <c r="I161" s="166">
        <f t="shared" si="4"/>
        <v>0</v>
      </c>
      <c r="J161" s="166">
        <f t="shared" si="4"/>
        <v>0</v>
      </c>
      <c r="K161" s="166">
        <f t="shared" si="4"/>
        <v>4.253467080212271</v>
      </c>
      <c r="L161" s="166">
        <f t="shared" si="4"/>
        <v>0</v>
      </c>
    </row>
    <row r="162" spans="2:12" ht="12.75" outlineLevel="1">
      <c r="B162" s="170" t="s">
        <v>205</v>
      </c>
      <c r="C162" s="167" t="s">
        <v>63</v>
      </c>
      <c r="E162" s="166">
        <f t="shared" si="4"/>
        <v>0</v>
      </c>
      <c r="F162" s="166">
        <f t="shared" si="4"/>
        <v>0</v>
      </c>
      <c r="G162" s="166">
        <f t="shared" si="4"/>
        <v>0</v>
      </c>
      <c r="H162" s="166">
        <f t="shared" si="4"/>
        <v>0</v>
      </c>
      <c r="I162" s="166">
        <f t="shared" si="4"/>
        <v>0</v>
      </c>
      <c r="J162" s="166">
        <f t="shared" si="4"/>
        <v>0</v>
      </c>
      <c r="K162" s="166">
        <f t="shared" si="4"/>
        <v>0.28955527071867576</v>
      </c>
      <c r="L162" s="166">
        <f t="shared" si="4"/>
        <v>0</v>
      </c>
    </row>
    <row r="163" spans="2:12" ht="12.75" outlineLevel="1">
      <c r="B163" s="170" t="s">
        <v>203</v>
      </c>
      <c r="C163" s="167" t="s">
        <v>63</v>
      </c>
      <c r="E163" s="166">
        <f t="shared" si="4"/>
        <v>0</v>
      </c>
      <c r="F163" s="166">
        <f t="shared" si="4"/>
        <v>0</v>
      </c>
      <c r="G163" s="166">
        <f t="shared" si="4"/>
        <v>0</v>
      </c>
      <c r="H163" s="166">
        <f t="shared" si="4"/>
        <v>0</v>
      </c>
      <c r="I163" s="166">
        <f t="shared" si="4"/>
        <v>0</v>
      </c>
      <c r="J163" s="166">
        <f t="shared" si="4"/>
        <v>0</v>
      </c>
      <c r="K163" s="166">
        <f t="shared" si="4"/>
        <v>0.005990798704524326</v>
      </c>
      <c r="L163" s="166">
        <f t="shared" si="4"/>
        <v>0</v>
      </c>
    </row>
    <row r="164" spans="2:12" ht="12.75" outlineLevel="1">
      <c r="B164" s="170" t="s">
        <v>247</v>
      </c>
      <c r="C164" s="167"/>
      <c r="E164" s="164"/>
      <c r="F164" s="164"/>
      <c r="G164" s="164"/>
      <c r="H164" s="164"/>
      <c r="I164" s="164"/>
      <c r="J164" s="164"/>
      <c r="K164" s="164"/>
      <c r="L164" s="164"/>
    </row>
    <row r="165" spans="2:12" ht="12.75" outlineLevel="1">
      <c r="B165" s="172" t="s">
        <v>206</v>
      </c>
      <c r="C165" s="167"/>
      <c r="E165" s="164"/>
      <c r="F165" s="164"/>
      <c r="G165" s="164"/>
      <c r="H165" s="164"/>
      <c r="I165" s="164"/>
      <c r="J165" s="164"/>
      <c r="K165" s="164"/>
      <c r="L165" s="164"/>
    </row>
    <row r="166" spans="2:12" ht="12.75" outlineLevel="1">
      <c r="B166" s="170" t="s">
        <v>199</v>
      </c>
      <c r="C166" s="167" t="s">
        <v>63</v>
      </c>
      <c r="E166" s="166">
        <f aca="true" t="shared" si="5" ref="E166:L166">E21</f>
        <v>0</v>
      </c>
      <c r="F166" s="166">
        <f t="shared" si="5"/>
        <v>2760</v>
      </c>
      <c r="G166" s="166">
        <f>G21</f>
        <v>0</v>
      </c>
      <c r="H166" s="166">
        <f>H21</f>
        <v>2760</v>
      </c>
      <c r="I166" s="166">
        <f t="shared" si="5"/>
        <v>2760</v>
      </c>
      <c r="J166" s="166">
        <f t="shared" si="5"/>
        <v>0</v>
      </c>
      <c r="K166" s="166">
        <f>K21</f>
        <v>2760</v>
      </c>
      <c r="L166" s="166">
        <f t="shared" si="5"/>
        <v>0</v>
      </c>
    </row>
    <row r="167" spans="2:12" ht="12.75" outlineLevel="1">
      <c r="B167" s="170" t="s">
        <v>200</v>
      </c>
      <c r="C167" s="167" t="s">
        <v>63</v>
      </c>
      <c r="E167" s="166">
        <f aca="true" t="shared" si="6" ref="E167:L169">E22*(E$147/E$146)</f>
        <v>0</v>
      </c>
      <c r="F167" s="166">
        <f t="shared" si="6"/>
        <v>5.943437793970347</v>
      </c>
      <c r="G167" s="166">
        <f t="shared" si="6"/>
        <v>0</v>
      </c>
      <c r="H167" s="166">
        <f t="shared" si="6"/>
        <v>11.035459567716464</v>
      </c>
      <c r="I167" s="166">
        <f t="shared" si="6"/>
        <v>17.21247044407497</v>
      </c>
      <c r="J167" s="166">
        <f t="shared" si="6"/>
        <v>0</v>
      </c>
      <c r="K167" s="166">
        <f t="shared" si="6"/>
        <v>14.13828494267741</v>
      </c>
      <c r="L167" s="166">
        <f t="shared" si="6"/>
        <v>0</v>
      </c>
    </row>
    <row r="168" spans="2:12" ht="12.75" outlineLevel="1">
      <c r="B168" s="170" t="s">
        <v>201</v>
      </c>
      <c r="C168" s="167" t="s">
        <v>63</v>
      </c>
      <c r="E168" s="166">
        <f t="shared" si="6"/>
        <v>0</v>
      </c>
      <c r="F168" s="166">
        <f t="shared" si="6"/>
        <v>0.5646265904271829</v>
      </c>
      <c r="G168" s="166">
        <f t="shared" si="6"/>
        <v>0</v>
      </c>
      <c r="H168" s="166">
        <f t="shared" si="6"/>
        <v>0.9071606329378483</v>
      </c>
      <c r="I168" s="166">
        <f t="shared" si="6"/>
        <v>1.6335909449237815</v>
      </c>
      <c r="J168" s="166">
        <f t="shared" si="6"/>
        <v>0</v>
      </c>
      <c r="K168" s="166">
        <f t="shared" si="6"/>
        <v>1.577576992191406</v>
      </c>
      <c r="L168" s="166">
        <f t="shared" si="6"/>
        <v>0</v>
      </c>
    </row>
    <row r="169" spans="2:12" ht="12.75" outlineLevel="1">
      <c r="B169" s="170" t="s">
        <v>203</v>
      </c>
      <c r="C169" s="167" t="s">
        <v>63</v>
      </c>
      <c r="E169" s="166">
        <f t="shared" si="6"/>
        <v>0</v>
      </c>
      <c r="F169" s="166">
        <f t="shared" si="6"/>
        <v>0</v>
      </c>
      <c r="G169" s="166">
        <f t="shared" si="6"/>
        <v>0</v>
      </c>
      <c r="H169" s="166">
        <f t="shared" si="6"/>
        <v>0.005981278898491308</v>
      </c>
      <c r="I169" s="166">
        <f t="shared" si="6"/>
        <v>0</v>
      </c>
      <c r="J169" s="166">
        <f t="shared" si="6"/>
        <v>0</v>
      </c>
      <c r="K169" s="166">
        <f t="shared" si="6"/>
        <v>0.005990798704524326</v>
      </c>
      <c r="L169" s="166">
        <f t="shared" si="6"/>
        <v>0</v>
      </c>
    </row>
    <row r="170" spans="2:12" ht="12.75" outlineLevel="1">
      <c r="B170" s="170" t="s">
        <v>247</v>
      </c>
      <c r="C170" s="167"/>
      <c r="E170" s="164"/>
      <c r="F170" s="164"/>
      <c r="G170" s="164"/>
      <c r="H170" s="164"/>
      <c r="I170" s="164"/>
      <c r="J170" s="164"/>
      <c r="K170" s="164"/>
      <c r="L170" s="164"/>
    </row>
    <row r="171" spans="2:12" ht="12.75" outlineLevel="1">
      <c r="B171" s="172" t="s">
        <v>207</v>
      </c>
      <c r="C171" s="167"/>
      <c r="E171" s="164"/>
      <c r="F171" s="164"/>
      <c r="G171" s="164"/>
      <c r="H171" s="164"/>
      <c r="I171" s="164"/>
      <c r="J171" s="164"/>
      <c r="K171" s="164"/>
      <c r="L171" s="164"/>
    </row>
    <row r="172" spans="2:12" ht="12.75" outlineLevel="1">
      <c r="B172" s="170" t="s">
        <v>199</v>
      </c>
      <c r="C172" s="167" t="s">
        <v>63</v>
      </c>
      <c r="E172" s="166">
        <f aca="true" t="shared" si="7" ref="E172:L172">E27</f>
        <v>0</v>
      </c>
      <c r="F172" s="166">
        <f t="shared" si="7"/>
        <v>0</v>
      </c>
      <c r="G172" s="166">
        <f>G27</f>
        <v>0</v>
      </c>
      <c r="H172" s="166">
        <f>H27</f>
        <v>2760</v>
      </c>
      <c r="I172" s="166">
        <f t="shared" si="7"/>
        <v>2760</v>
      </c>
      <c r="J172" s="166">
        <f t="shared" si="7"/>
        <v>0</v>
      </c>
      <c r="K172" s="166">
        <f>K27</f>
        <v>2760</v>
      </c>
      <c r="L172" s="166">
        <f t="shared" si="7"/>
        <v>0</v>
      </c>
    </row>
    <row r="173" spans="2:12" ht="12.75" outlineLevel="1">
      <c r="B173" s="170" t="s">
        <v>200</v>
      </c>
      <c r="C173" s="167" t="s">
        <v>63</v>
      </c>
      <c r="E173" s="166">
        <f aca="true" t="shared" si="8" ref="E173:L175">E28*(E$147/E$146)</f>
        <v>0</v>
      </c>
      <c r="F173" s="166">
        <f t="shared" si="8"/>
        <v>0</v>
      </c>
      <c r="G173" s="166">
        <f t="shared" si="8"/>
        <v>0</v>
      </c>
      <c r="H173" s="166">
        <f t="shared" si="8"/>
        <v>5.522714182940307</v>
      </c>
      <c r="I173" s="166">
        <f t="shared" si="8"/>
        <v>8.606235222037485</v>
      </c>
      <c r="J173" s="166">
        <f t="shared" si="8"/>
        <v>0</v>
      </c>
      <c r="K173" s="166">
        <f t="shared" si="8"/>
        <v>7.069142471338705</v>
      </c>
      <c r="L173" s="166">
        <f t="shared" si="8"/>
        <v>0</v>
      </c>
    </row>
    <row r="174" spans="2:12" ht="12.75" outlineLevel="1">
      <c r="B174" s="170" t="s">
        <v>205</v>
      </c>
      <c r="C174" s="167" t="s">
        <v>63</v>
      </c>
      <c r="E174" s="166">
        <f t="shared" si="8"/>
        <v>0</v>
      </c>
      <c r="F174" s="166">
        <f t="shared" si="8"/>
        <v>0</v>
      </c>
      <c r="G174" s="166">
        <f t="shared" si="8"/>
        <v>0</v>
      </c>
      <c r="H174" s="166">
        <f t="shared" si="8"/>
        <v>0.3190015412528697</v>
      </c>
      <c r="I174" s="166">
        <f t="shared" si="8"/>
        <v>0.5578115421690962</v>
      </c>
      <c r="J174" s="166">
        <f t="shared" si="8"/>
        <v>0</v>
      </c>
      <c r="K174" s="166">
        <f t="shared" si="8"/>
        <v>0.5491565479147299</v>
      </c>
      <c r="L174" s="166">
        <f t="shared" si="8"/>
        <v>0</v>
      </c>
    </row>
    <row r="175" spans="2:12" ht="12.75" outlineLevel="1">
      <c r="B175" s="170" t="s">
        <v>203</v>
      </c>
      <c r="C175" s="167" t="s">
        <v>63</v>
      </c>
      <c r="E175" s="166">
        <f t="shared" si="8"/>
        <v>0</v>
      </c>
      <c r="F175" s="166">
        <f t="shared" si="8"/>
        <v>0</v>
      </c>
      <c r="G175" s="166">
        <f t="shared" si="8"/>
        <v>0</v>
      </c>
      <c r="H175" s="166">
        <f t="shared" si="8"/>
        <v>0.005981278898491308</v>
      </c>
      <c r="I175" s="166">
        <f t="shared" si="8"/>
        <v>0</v>
      </c>
      <c r="J175" s="166">
        <f t="shared" si="8"/>
        <v>0</v>
      </c>
      <c r="K175" s="166">
        <f t="shared" si="8"/>
        <v>0.005990798704524326</v>
      </c>
      <c r="L175" s="166">
        <f t="shared" si="8"/>
        <v>0</v>
      </c>
    </row>
    <row r="176" spans="2:12" ht="12.75" outlineLevel="1">
      <c r="B176" s="170" t="s">
        <v>247</v>
      </c>
      <c r="C176" s="167"/>
      <c r="E176" s="164"/>
      <c r="F176" s="164"/>
      <c r="G176" s="164"/>
      <c r="H176" s="164"/>
      <c r="I176" s="164"/>
      <c r="J176" s="164"/>
      <c r="K176" s="164"/>
      <c r="L176" s="164"/>
    </row>
    <row r="177" spans="2:12" ht="12.75" outlineLevel="1">
      <c r="B177" s="172" t="s">
        <v>208</v>
      </c>
      <c r="C177" s="167"/>
      <c r="E177" s="164"/>
      <c r="F177" s="164"/>
      <c r="G177" s="164"/>
      <c r="H177" s="164"/>
      <c r="I177" s="164"/>
      <c r="J177" s="164"/>
      <c r="K177" s="164"/>
      <c r="L177" s="164"/>
    </row>
    <row r="178" spans="2:12" ht="12.75" outlineLevel="1">
      <c r="B178" s="170" t="s">
        <v>199</v>
      </c>
      <c r="C178" s="167" t="s">
        <v>63</v>
      </c>
      <c r="E178" s="166">
        <f aca="true" t="shared" si="9" ref="E178:L178">E33</f>
        <v>0</v>
      </c>
      <c r="F178" s="166">
        <f t="shared" si="9"/>
        <v>2760</v>
      </c>
      <c r="G178" s="166">
        <f>G33</f>
        <v>2760</v>
      </c>
      <c r="H178" s="166">
        <f>H33</f>
        <v>2760</v>
      </c>
      <c r="I178" s="166">
        <f t="shared" si="9"/>
        <v>2760</v>
      </c>
      <c r="J178" s="166">
        <f t="shared" si="9"/>
        <v>0</v>
      </c>
      <c r="K178" s="166">
        <f>K33</f>
        <v>2760</v>
      </c>
      <c r="L178" s="166">
        <f t="shared" si="9"/>
        <v>2760</v>
      </c>
    </row>
    <row r="179" spans="2:12" ht="12.75" outlineLevel="1">
      <c r="B179" s="170" t="s">
        <v>200</v>
      </c>
      <c r="C179" s="167" t="s">
        <v>63</v>
      </c>
      <c r="E179" s="166">
        <f aca="true" t="shared" si="10" ref="E179:L181">E34*(E$147/E$146)</f>
        <v>0</v>
      </c>
      <c r="F179" s="166">
        <f t="shared" si="10"/>
        <v>15.690675776081713</v>
      </c>
      <c r="G179" s="166">
        <f t="shared" si="10"/>
        <v>14.004335937186056</v>
      </c>
      <c r="H179" s="166">
        <f t="shared" si="10"/>
        <v>14.135755796767791</v>
      </c>
      <c r="I179" s="166">
        <f t="shared" si="10"/>
        <v>20.798401786590585</v>
      </c>
      <c r="J179" s="166">
        <f t="shared" si="10"/>
        <v>0</v>
      </c>
      <c r="K179" s="166">
        <f t="shared" si="10"/>
        <v>16.53460442448714</v>
      </c>
      <c r="L179" s="166">
        <f t="shared" si="10"/>
        <v>22.676936873566355</v>
      </c>
    </row>
    <row r="180" spans="2:12" ht="12.75" outlineLevel="1">
      <c r="B180" s="170" t="s">
        <v>201</v>
      </c>
      <c r="C180" s="167" t="s">
        <v>63</v>
      </c>
      <c r="E180" s="166">
        <f t="shared" si="10"/>
        <v>0</v>
      </c>
      <c r="F180" s="166">
        <f t="shared" si="10"/>
        <v>1.5353880967756728</v>
      </c>
      <c r="G180" s="166">
        <f t="shared" si="10"/>
        <v>1.3722108180286545</v>
      </c>
      <c r="H180" s="166">
        <f t="shared" si="10"/>
        <v>1.395631742981305</v>
      </c>
      <c r="I180" s="166">
        <f t="shared" si="10"/>
        <v>1.7232392284866722</v>
      </c>
      <c r="J180" s="166">
        <f t="shared" si="10"/>
        <v>0</v>
      </c>
      <c r="K180" s="166">
        <f t="shared" si="10"/>
        <v>1.7373316243120547</v>
      </c>
      <c r="L180" s="166">
        <f t="shared" si="10"/>
        <v>2.4987267565101536</v>
      </c>
    </row>
    <row r="181" spans="2:12" ht="12.75" outlineLevel="1">
      <c r="B181" s="170" t="s">
        <v>203</v>
      </c>
      <c r="C181" s="167" t="s">
        <v>63</v>
      </c>
      <c r="E181" s="166">
        <f t="shared" si="10"/>
        <v>0</v>
      </c>
      <c r="F181" s="166">
        <f t="shared" si="10"/>
        <v>0</v>
      </c>
      <c r="G181" s="166">
        <f t="shared" si="10"/>
        <v>0.006228474635023681</v>
      </c>
      <c r="H181" s="166">
        <f t="shared" si="10"/>
        <v>0.005981278898491308</v>
      </c>
      <c r="I181" s="166">
        <f t="shared" si="10"/>
        <v>0</v>
      </c>
      <c r="J181" s="166">
        <f t="shared" si="10"/>
        <v>0</v>
      </c>
      <c r="K181" s="166">
        <f t="shared" si="10"/>
        <v>0.005990798704524326</v>
      </c>
      <c r="L181" s="166">
        <f t="shared" si="10"/>
        <v>0</v>
      </c>
    </row>
    <row r="182" spans="2:12" ht="12.75" outlineLevel="1">
      <c r="B182" s="170" t="s">
        <v>247</v>
      </c>
      <c r="C182" s="167"/>
      <c r="E182" s="164"/>
      <c r="F182" s="164"/>
      <c r="G182" s="164"/>
      <c r="H182" s="164"/>
      <c r="I182" s="164"/>
      <c r="J182" s="164"/>
      <c r="K182" s="164"/>
      <c r="L182" s="164"/>
    </row>
    <row r="183" spans="2:12" ht="12.75" outlineLevel="1">
      <c r="B183" s="172" t="s">
        <v>209</v>
      </c>
      <c r="C183" s="167"/>
      <c r="E183" s="164"/>
      <c r="F183" s="164"/>
      <c r="G183" s="164"/>
      <c r="H183" s="164"/>
      <c r="I183" s="164"/>
      <c r="J183" s="164"/>
      <c r="K183" s="164"/>
      <c r="L183" s="164"/>
    </row>
    <row r="184" spans="2:12" ht="12.75" outlineLevel="1">
      <c r="B184" s="170" t="s">
        <v>199</v>
      </c>
      <c r="C184" s="167" t="s">
        <v>63</v>
      </c>
      <c r="E184" s="166">
        <f aca="true" t="shared" si="11" ref="E184:L184">E39</f>
        <v>0</v>
      </c>
      <c r="F184" s="166">
        <f t="shared" si="11"/>
        <v>2760</v>
      </c>
      <c r="G184" s="166">
        <f>G39</f>
        <v>0</v>
      </c>
      <c r="H184" s="166">
        <f>H39</f>
        <v>2760</v>
      </c>
      <c r="I184" s="166">
        <f t="shared" si="11"/>
        <v>2760</v>
      </c>
      <c r="J184" s="166">
        <f t="shared" si="11"/>
        <v>0</v>
      </c>
      <c r="K184" s="166">
        <f>K39</f>
        <v>2760</v>
      </c>
      <c r="L184" s="166">
        <f t="shared" si="11"/>
        <v>0</v>
      </c>
    </row>
    <row r="185" spans="2:12" ht="12.75" outlineLevel="1">
      <c r="B185" s="170" t="s">
        <v>200</v>
      </c>
      <c r="C185" s="167" t="s">
        <v>63</v>
      </c>
      <c r="E185" s="166">
        <f aca="true" t="shared" si="12" ref="E185:L187">E40*(E$147/E$146)</f>
        <v>0</v>
      </c>
      <c r="F185" s="166">
        <f t="shared" si="12"/>
        <v>7.845337888040857</v>
      </c>
      <c r="G185" s="166">
        <f t="shared" si="12"/>
        <v>0</v>
      </c>
      <c r="H185" s="166">
        <f t="shared" si="12"/>
        <v>7.0678778983838955</v>
      </c>
      <c r="I185" s="166">
        <f t="shared" si="12"/>
        <v>10.399200893295292</v>
      </c>
      <c r="J185" s="166">
        <f t="shared" si="12"/>
        <v>0</v>
      </c>
      <c r="K185" s="166">
        <f t="shared" si="12"/>
        <v>8.26730221224357</v>
      </c>
      <c r="L185" s="166">
        <f t="shared" si="12"/>
        <v>0</v>
      </c>
    </row>
    <row r="186" spans="2:12" ht="12.75" outlineLevel="1">
      <c r="B186" s="170" t="s">
        <v>205</v>
      </c>
      <c r="C186" s="167" t="s">
        <v>63</v>
      </c>
      <c r="E186" s="166">
        <f t="shared" si="12"/>
        <v>0</v>
      </c>
      <c r="F186" s="166">
        <f t="shared" si="12"/>
        <v>0.525003671800714</v>
      </c>
      <c r="G186" s="166">
        <f t="shared" si="12"/>
        <v>0</v>
      </c>
      <c r="H186" s="166">
        <f t="shared" si="12"/>
        <v>0.4785023118793046</v>
      </c>
      <c r="I186" s="166">
        <f t="shared" si="12"/>
        <v>0.5876943033567263</v>
      </c>
      <c r="J186" s="166">
        <f t="shared" si="12"/>
        <v>0</v>
      </c>
      <c r="K186" s="166">
        <f t="shared" si="12"/>
        <v>0.5990798704524326</v>
      </c>
      <c r="L186" s="166">
        <f t="shared" si="12"/>
        <v>0</v>
      </c>
    </row>
    <row r="187" spans="2:12" ht="12.75" outlineLevel="1">
      <c r="B187" s="170" t="s">
        <v>203</v>
      </c>
      <c r="C187" s="167" t="s">
        <v>63</v>
      </c>
      <c r="E187" s="166">
        <f t="shared" si="12"/>
        <v>0</v>
      </c>
      <c r="F187" s="166">
        <f t="shared" si="12"/>
        <v>0</v>
      </c>
      <c r="G187" s="166">
        <f t="shared" si="12"/>
        <v>0</v>
      </c>
      <c r="H187" s="166">
        <f t="shared" si="12"/>
        <v>0.005981278898491308</v>
      </c>
      <c r="I187" s="166">
        <f t="shared" si="12"/>
        <v>0</v>
      </c>
      <c r="J187" s="166">
        <f t="shared" si="12"/>
        <v>0</v>
      </c>
      <c r="K187" s="166">
        <f t="shared" si="12"/>
        <v>0</v>
      </c>
      <c r="L187" s="166">
        <f t="shared" si="12"/>
        <v>0</v>
      </c>
    </row>
    <row r="188" spans="2:12" ht="12.75" outlineLevel="1">
      <c r="B188" s="170" t="s">
        <v>247</v>
      </c>
      <c r="C188" s="167"/>
      <c r="E188" s="164"/>
      <c r="F188" s="164"/>
      <c r="G188" s="164"/>
      <c r="H188" s="164"/>
      <c r="I188" s="164"/>
      <c r="J188" s="164"/>
      <c r="K188" s="164"/>
      <c r="L188" s="164"/>
    </row>
    <row r="189" spans="2:12" ht="12.75" outlineLevel="1">
      <c r="B189" s="172" t="s">
        <v>210</v>
      </c>
      <c r="C189" s="167"/>
      <c r="E189" s="164"/>
      <c r="F189" s="164"/>
      <c r="G189" s="164"/>
      <c r="H189" s="164"/>
      <c r="I189" s="164"/>
      <c r="J189" s="164"/>
      <c r="K189" s="164"/>
      <c r="L189" s="164"/>
    </row>
    <row r="190" spans="2:12" ht="12.75" outlineLevel="1">
      <c r="B190" s="170" t="s">
        <v>199</v>
      </c>
      <c r="C190" s="167" t="s">
        <v>63</v>
      </c>
      <c r="E190" s="166">
        <f aca="true" t="shared" si="13" ref="E190:L190">E45</f>
        <v>0</v>
      </c>
      <c r="F190" s="166">
        <f t="shared" si="13"/>
        <v>0</v>
      </c>
      <c r="G190" s="166">
        <f>G45</f>
        <v>441</v>
      </c>
      <c r="H190" s="166">
        <f>H45</f>
        <v>441</v>
      </c>
      <c r="I190" s="166">
        <f t="shared" si="13"/>
        <v>0</v>
      </c>
      <c r="J190" s="166">
        <f t="shared" si="13"/>
        <v>441</v>
      </c>
      <c r="K190" s="166">
        <f>K45</f>
        <v>0</v>
      </c>
      <c r="L190" s="166">
        <f t="shared" si="13"/>
        <v>0</v>
      </c>
    </row>
    <row r="191" spans="2:12" ht="12.75" outlineLevel="1">
      <c r="B191" s="170" t="s">
        <v>211</v>
      </c>
      <c r="C191" s="167" t="s">
        <v>63</v>
      </c>
      <c r="E191" s="166">
        <f aca="true" t="shared" si="14" ref="E191:L194">E46*(E$147/E$146)</f>
        <v>0</v>
      </c>
      <c r="F191" s="166">
        <f t="shared" si="14"/>
        <v>0</v>
      </c>
      <c r="G191" s="166">
        <f t="shared" si="14"/>
        <v>12.388825328726789</v>
      </c>
      <c r="H191" s="166">
        <f t="shared" si="14"/>
        <v>10.487175668688092</v>
      </c>
      <c r="I191" s="166">
        <f t="shared" si="14"/>
        <v>0</v>
      </c>
      <c r="J191" s="166">
        <f t="shared" si="14"/>
        <v>16.726868700419672</v>
      </c>
      <c r="K191" s="166">
        <f t="shared" si="14"/>
        <v>0</v>
      </c>
      <c r="L191" s="166">
        <f t="shared" si="14"/>
        <v>0</v>
      </c>
    </row>
    <row r="192" spans="2:12" ht="12.75" outlineLevel="1">
      <c r="B192" s="170" t="s">
        <v>201</v>
      </c>
      <c r="C192" s="167" t="s">
        <v>63</v>
      </c>
      <c r="E192" s="166">
        <f t="shared" si="14"/>
        <v>0</v>
      </c>
      <c r="F192" s="166">
        <f t="shared" si="14"/>
        <v>0</v>
      </c>
      <c r="G192" s="166">
        <f t="shared" si="14"/>
        <v>1.0510550946602462</v>
      </c>
      <c r="H192" s="166">
        <f t="shared" si="14"/>
        <v>1.0168174127435223</v>
      </c>
      <c r="I192" s="166">
        <f t="shared" si="14"/>
        <v>0</v>
      </c>
      <c r="J192" s="166">
        <f t="shared" si="14"/>
        <v>1.6355606467716892</v>
      </c>
      <c r="K192" s="166">
        <f t="shared" si="14"/>
        <v>0</v>
      </c>
      <c r="L192" s="166">
        <f t="shared" si="14"/>
        <v>0</v>
      </c>
    </row>
    <row r="193" spans="2:12" ht="12.75" outlineLevel="1">
      <c r="B193" s="170" t="s">
        <v>202</v>
      </c>
      <c r="C193" s="167" t="s">
        <v>63</v>
      </c>
      <c r="E193" s="166">
        <f t="shared" si="14"/>
        <v>0</v>
      </c>
      <c r="F193" s="166">
        <f t="shared" si="14"/>
        <v>0</v>
      </c>
      <c r="G193" s="166">
        <f t="shared" si="14"/>
        <v>0.005547235221817965</v>
      </c>
      <c r="H193" s="166">
        <f t="shared" si="14"/>
        <v>0.003987519265660872</v>
      </c>
      <c r="I193" s="166">
        <f t="shared" si="14"/>
        <v>0</v>
      </c>
      <c r="J193" s="166">
        <f t="shared" si="14"/>
        <v>0.002408187455369358</v>
      </c>
      <c r="K193" s="166">
        <f t="shared" si="14"/>
        <v>0</v>
      </c>
      <c r="L193" s="166">
        <f t="shared" si="14"/>
        <v>0</v>
      </c>
    </row>
    <row r="194" spans="2:12" ht="12.75" outlineLevel="1">
      <c r="B194" s="170" t="s">
        <v>203</v>
      </c>
      <c r="C194" s="167" t="s">
        <v>63</v>
      </c>
      <c r="E194" s="166">
        <f t="shared" si="14"/>
        <v>0</v>
      </c>
      <c r="F194" s="166">
        <f t="shared" si="14"/>
        <v>0</v>
      </c>
      <c r="G194" s="166">
        <f t="shared" si="14"/>
        <v>0.00603383480267919</v>
      </c>
      <c r="H194" s="166">
        <f t="shared" si="14"/>
        <v>0.005981278898491308</v>
      </c>
      <c r="I194" s="166">
        <f t="shared" si="14"/>
        <v>0</v>
      </c>
      <c r="J194" s="166">
        <f t="shared" si="14"/>
        <v>0.008428656093792754</v>
      </c>
      <c r="K194" s="166">
        <f t="shared" si="14"/>
        <v>0</v>
      </c>
      <c r="L194" s="166">
        <f t="shared" si="14"/>
        <v>0</v>
      </c>
    </row>
    <row r="195" spans="2:12" ht="12.75" outlineLevel="1">
      <c r="B195" s="170" t="s">
        <v>247</v>
      </c>
      <c r="C195" s="167"/>
      <c r="E195" s="164"/>
      <c r="F195" s="164"/>
      <c r="G195" s="164"/>
      <c r="H195" s="164"/>
      <c r="I195" s="164"/>
      <c r="J195" s="164"/>
      <c r="K195" s="164"/>
      <c r="L195" s="164"/>
    </row>
    <row r="196" spans="2:12" ht="12.75" outlineLevel="1">
      <c r="B196" s="172" t="s">
        <v>212</v>
      </c>
      <c r="C196" s="167"/>
      <c r="E196" s="164"/>
      <c r="F196" s="164"/>
      <c r="G196" s="164"/>
      <c r="H196" s="164"/>
      <c r="I196" s="164"/>
      <c r="J196" s="164"/>
      <c r="K196" s="164"/>
      <c r="L196" s="164"/>
    </row>
    <row r="197" spans="2:12" ht="12.75" outlineLevel="1">
      <c r="B197" s="170" t="s">
        <v>199</v>
      </c>
      <c r="C197" s="167" t="s">
        <v>63</v>
      </c>
      <c r="E197" s="166">
        <f aca="true" t="shared" si="15" ref="E197:L197">E52</f>
        <v>441</v>
      </c>
      <c r="F197" s="166">
        <f t="shared" si="15"/>
        <v>441</v>
      </c>
      <c r="G197" s="166">
        <f>G52</f>
        <v>441</v>
      </c>
      <c r="H197" s="166">
        <f>H52</f>
        <v>441</v>
      </c>
      <c r="I197" s="166">
        <f t="shared" si="15"/>
        <v>441</v>
      </c>
      <c r="J197" s="166">
        <f t="shared" si="15"/>
        <v>441</v>
      </c>
      <c r="K197" s="166">
        <f>K52</f>
        <v>441</v>
      </c>
      <c r="L197" s="166">
        <f t="shared" si="15"/>
        <v>441</v>
      </c>
    </row>
    <row r="198" spans="2:12" ht="12.75" outlineLevel="1">
      <c r="B198" s="170" t="s">
        <v>211</v>
      </c>
      <c r="C198" s="167" t="s">
        <v>63</v>
      </c>
      <c r="E198" s="166">
        <f aca="true" t="shared" si="16" ref="E198:L201">E53*(E$147/E$146)</f>
        <v>13.858906811583637</v>
      </c>
      <c r="F198" s="166">
        <f t="shared" si="16"/>
        <v>10.46045051738781</v>
      </c>
      <c r="G198" s="166">
        <f t="shared" si="16"/>
        <v>13.157652666487524</v>
      </c>
      <c r="H198" s="166">
        <f t="shared" si="16"/>
        <v>13.21862636566579</v>
      </c>
      <c r="I198" s="166">
        <f t="shared" si="16"/>
        <v>13.148414922557267</v>
      </c>
      <c r="J198" s="166">
        <f t="shared" si="16"/>
        <v>13.094519288570886</v>
      </c>
      <c r="K198" s="166">
        <f t="shared" si="16"/>
        <v>9.944725849510382</v>
      </c>
      <c r="L198" s="166">
        <f t="shared" si="16"/>
        <v>11.303763898498314</v>
      </c>
    </row>
    <row r="199" spans="2:12" ht="12.75" outlineLevel="1">
      <c r="B199" s="170" t="s">
        <v>201</v>
      </c>
      <c r="C199" s="167" t="s">
        <v>63</v>
      </c>
      <c r="E199" s="166">
        <f t="shared" si="16"/>
        <v>1.3027171984858084</v>
      </c>
      <c r="F199" s="166">
        <f t="shared" si="16"/>
        <v>1.0202901546315761</v>
      </c>
      <c r="G199" s="166">
        <f t="shared" si="16"/>
        <v>1.323550859942532</v>
      </c>
      <c r="H199" s="166">
        <f t="shared" si="16"/>
        <v>1.32585015583224</v>
      </c>
      <c r="I199" s="166">
        <f t="shared" si="16"/>
        <v>1.195310447505206</v>
      </c>
      <c r="J199" s="166">
        <f t="shared" si="16"/>
        <v>1.3947419012347533</v>
      </c>
      <c r="K199" s="166">
        <f t="shared" si="16"/>
        <v>1.3479297085179736</v>
      </c>
      <c r="L199" s="166">
        <f t="shared" si="16"/>
        <v>1.4575906079642562</v>
      </c>
    </row>
    <row r="200" spans="2:12" ht="12.75" outlineLevel="1">
      <c r="B200" s="170" t="s">
        <v>202</v>
      </c>
      <c r="C200" s="167" t="s">
        <v>63</v>
      </c>
      <c r="E200" s="166">
        <f t="shared" si="16"/>
        <v>0.0068142130382334585</v>
      </c>
      <c r="F200" s="166">
        <f t="shared" si="16"/>
        <v>0.00772646913216145</v>
      </c>
      <c r="G200" s="166">
        <f t="shared" si="16"/>
        <v>0.008466832706985315</v>
      </c>
      <c r="H200" s="166">
        <f t="shared" si="16"/>
        <v>0.0076759745863971785</v>
      </c>
      <c r="I200" s="166">
        <f t="shared" si="16"/>
        <v>0.007371081092948772</v>
      </c>
      <c r="J200" s="166">
        <f t="shared" si="16"/>
        <v>0.0086293383817402</v>
      </c>
      <c r="K200" s="166">
        <f t="shared" si="16"/>
        <v>0.008287271541258651</v>
      </c>
      <c r="L200" s="166">
        <f t="shared" si="16"/>
        <v>0.009717270719761709</v>
      </c>
    </row>
    <row r="201" spans="2:12" ht="12.75" outlineLevel="1">
      <c r="B201" s="170" t="s">
        <v>203</v>
      </c>
      <c r="C201" s="167" t="s">
        <v>63</v>
      </c>
      <c r="E201" s="166">
        <f t="shared" si="16"/>
        <v>0.012626335923785526</v>
      </c>
      <c r="F201" s="166">
        <f t="shared" si="16"/>
        <v>0</v>
      </c>
      <c r="G201" s="166">
        <f t="shared" si="16"/>
        <v>0.00603383480267919</v>
      </c>
      <c r="H201" s="166">
        <f t="shared" si="16"/>
        <v>0.005981278898491308</v>
      </c>
      <c r="I201" s="166">
        <f t="shared" si="16"/>
        <v>0</v>
      </c>
      <c r="J201" s="166">
        <f t="shared" si="16"/>
        <v>0.008428656093792754</v>
      </c>
      <c r="K201" s="166">
        <f t="shared" si="16"/>
        <v>0.005990798704524326</v>
      </c>
      <c r="L201" s="166">
        <f t="shared" si="16"/>
        <v>0</v>
      </c>
    </row>
    <row r="202" spans="2:12" ht="12.75" outlineLevel="1">
      <c r="B202" s="170" t="s">
        <v>247</v>
      </c>
      <c r="C202" s="167"/>
      <c r="E202" s="164"/>
      <c r="F202" s="164"/>
      <c r="G202" s="164"/>
      <c r="H202" s="164"/>
      <c r="I202" s="164"/>
      <c r="J202" s="164"/>
      <c r="K202" s="164"/>
      <c r="L202" s="164"/>
    </row>
    <row r="203" spans="2:12" ht="12.75" outlineLevel="1">
      <c r="B203" s="172" t="s">
        <v>213</v>
      </c>
      <c r="C203" s="167"/>
      <c r="E203" s="164"/>
      <c r="F203" s="164"/>
      <c r="G203" s="164"/>
      <c r="H203" s="164"/>
      <c r="I203" s="164"/>
      <c r="J203" s="164"/>
      <c r="K203" s="164"/>
      <c r="L203" s="164"/>
    </row>
    <row r="204" spans="2:12" ht="12.75" outlineLevel="1">
      <c r="B204" s="170" t="s">
        <v>199</v>
      </c>
      <c r="C204" s="167" t="s">
        <v>63</v>
      </c>
      <c r="E204" s="166">
        <f aca="true" t="shared" si="17" ref="E204:L204">E59</f>
        <v>441</v>
      </c>
      <c r="F204" s="166">
        <f t="shared" si="17"/>
        <v>441</v>
      </c>
      <c r="G204" s="166">
        <f>G59</f>
        <v>441</v>
      </c>
      <c r="H204" s="166">
        <f>H59</f>
        <v>441</v>
      </c>
      <c r="I204" s="166">
        <f t="shared" si="17"/>
        <v>441</v>
      </c>
      <c r="J204" s="166">
        <f t="shared" si="17"/>
        <v>441</v>
      </c>
      <c r="K204" s="166">
        <f>K59</f>
        <v>441</v>
      </c>
      <c r="L204" s="166">
        <f t="shared" si="17"/>
        <v>441</v>
      </c>
    </row>
    <row r="205" spans="2:12" ht="12.75" outlineLevel="1">
      <c r="B205" s="170" t="s">
        <v>211</v>
      </c>
      <c r="C205" s="167" t="s">
        <v>63</v>
      </c>
      <c r="E205" s="166">
        <f aca="true" t="shared" si="18" ref="E205:L208">E60*(E$147/E$146)</f>
        <v>15.50233466198112</v>
      </c>
      <c r="F205" s="166">
        <f t="shared" si="18"/>
        <v>18.781263428946296</v>
      </c>
      <c r="G205" s="166">
        <f t="shared" si="18"/>
        <v>21.118421809377164</v>
      </c>
      <c r="H205" s="166">
        <f t="shared" si="18"/>
        <v>20.1369722915874</v>
      </c>
      <c r="I205" s="166">
        <f t="shared" si="18"/>
        <v>20.320277607588505</v>
      </c>
      <c r="J205" s="166">
        <f t="shared" si="18"/>
        <v>18.32229288960187</v>
      </c>
      <c r="K205" s="166">
        <f t="shared" si="18"/>
        <v>16.175156502215682</v>
      </c>
      <c r="L205" s="166">
        <f t="shared" si="18"/>
        <v>22.61744337936373</v>
      </c>
    </row>
    <row r="206" spans="2:12" ht="12.75" outlineLevel="1">
      <c r="B206" s="170" t="s">
        <v>201</v>
      </c>
      <c r="C206" s="167" t="s">
        <v>63</v>
      </c>
      <c r="E206" s="166">
        <f t="shared" si="18"/>
        <v>1.3027171984858084</v>
      </c>
      <c r="F206" s="166">
        <f t="shared" si="18"/>
        <v>1.0202901546315761</v>
      </c>
      <c r="G206" s="166">
        <f t="shared" si="18"/>
        <v>1.323550859942532</v>
      </c>
      <c r="H206" s="166">
        <f t="shared" si="18"/>
        <v>1.32585015583224</v>
      </c>
      <c r="I206" s="166">
        <f t="shared" si="18"/>
        <v>1.195310447505206</v>
      </c>
      <c r="J206" s="166">
        <f t="shared" si="18"/>
        <v>1.3947419012347533</v>
      </c>
      <c r="K206" s="166">
        <f t="shared" si="18"/>
        <v>1.3479297085179736</v>
      </c>
      <c r="L206" s="166">
        <f t="shared" si="18"/>
        <v>1.4575906079642562</v>
      </c>
    </row>
    <row r="207" spans="2:12" ht="12.75" outlineLevel="1">
      <c r="B207" s="170" t="s">
        <v>202</v>
      </c>
      <c r="C207" s="167" t="s">
        <v>63</v>
      </c>
      <c r="E207" s="166">
        <f t="shared" si="18"/>
        <v>0.0068142130382334585</v>
      </c>
      <c r="F207" s="166">
        <f t="shared" si="18"/>
        <v>0.00772646913216145</v>
      </c>
      <c r="G207" s="166">
        <f t="shared" si="18"/>
        <v>0.008466832706985315</v>
      </c>
      <c r="H207" s="166">
        <f t="shared" si="18"/>
        <v>0.0076759745863971785</v>
      </c>
      <c r="I207" s="166">
        <f t="shared" si="18"/>
        <v>0.007371081092948772</v>
      </c>
      <c r="J207" s="166">
        <f t="shared" si="18"/>
        <v>0.0086293383817402</v>
      </c>
      <c r="K207" s="166">
        <f t="shared" si="18"/>
        <v>0.008287271541258651</v>
      </c>
      <c r="L207" s="166">
        <f t="shared" si="18"/>
        <v>0.009717270719761709</v>
      </c>
    </row>
    <row r="208" spans="2:12" ht="12.75" outlineLevel="1">
      <c r="B208" s="170" t="s">
        <v>203</v>
      </c>
      <c r="C208" s="167" t="s">
        <v>63</v>
      </c>
      <c r="E208" s="166">
        <f t="shared" si="18"/>
        <v>0.012626335923785526</v>
      </c>
      <c r="F208" s="166">
        <f t="shared" si="18"/>
        <v>0</v>
      </c>
      <c r="G208" s="166">
        <f t="shared" si="18"/>
        <v>0.00603383480267919</v>
      </c>
      <c r="H208" s="166">
        <f t="shared" si="18"/>
        <v>0.005981278898491308</v>
      </c>
      <c r="I208" s="166">
        <f t="shared" si="18"/>
        <v>0</v>
      </c>
      <c r="J208" s="166">
        <f t="shared" si="18"/>
        <v>0.008428656093792754</v>
      </c>
      <c r="K208" s="166">
        <f t="shared" si="18"/>
        <v>0.005990798704524326</v>
      </c>
      <c r="L208" s="166">
        <f t="shared" si="18"/>
        <v>0</v>
      </c>
    </row>
    <row r="209" spans="2:12" ht="12.75" outlineLevel="1">
      <c r="B209" s="170" t="s">
        <v>247</v>
      </c>
      <c r="C209" s="167"/>
      <c r="E209" s="164"/>
      <c r="F209" s="164"/>
      <c r="G209" s="164"/>
      <c r="H209" s="164"/>
      <c r="I209" s="164"/>
      <c r="J209" s="164"/>
      <c r="K209" s="164"/>
      <c r="L209" s="164"/>
    </row>
    <row r="210" spans="2:12" ht="12.75" outlineLevel="1">
      <c r="B210" s="172" t="s">
        <v>214</v>
      </c>
      <c r="C210" s="167"/>
      <c r="E210" s="164"/>
      <c r="F210" s="164"/>
      <c r="G210" s="164"/>
      <c r="H210" s="164"/>
      <c r="I210" s="164"/>
      <c r="J210" s="164"/>
      <c r="K210" s="164"/>
      <c r="L210" s="164"/>
    </row>
    <row r="211" spans="2:12" ht="12.75" outlineLevel="1">
      <c r="B211" s="170" t="s">
        <v>199</v>
      </c>
      <c r="C211" s="167" t="s">
        <v>63</v>
      </c>
      <c r="E211" s="166">
        <f aca="true" t="shared" si="19" ref="E211:L211">E66</f>
        <v>18</v>
      </c>
      <c r="F211" s="166">
        <f t="shared" si="19"/>
        <v>18</v>
      </c>
      <c r="G211" s="166">
        <f>G66</f>
        <v>0</v>
      </c>
      <c r="H211" s="166">
        <f>H66</f>
        <v>18</v>
      </c>
      <c r="I211" s="166">
        <f t="shared" si="19"/>
        <v>18</v>
      </c>
      <c r="J211" s="166">
        <f t="shared" si="19"/>
        <v>18</v>
      </c>
      <c r="K211" s="166">
        <f>K66</f>
        <v>18</v>
      </c>
      <c r="L211" s="166">
        <f t="shared" si="19"/>
        <v>18</v>
      </c>
    </row>
    <row r="212" spans="2:12" ht="12.75" outlineLevel="1">
      <c r="B212" s="170" t="s">
        <v>211</v>
      </c>
      <c r="C212" s="167" t="s">
        <v>63</v>
      </c>
      <c r="E212" s="166">
        <f aca="true" t="shared" si="20" ref="E212:L215">E67*(E$147/E$146)</f>
        <v>6.603774106170366</v>
      </c>
      <c r="F212" s="166">
        <f t="shared" si="20"/>
        <v>5.408528392513015</v>
      </c>
      <c r="G212" s="166">
        <f t="shared" si="20"/>
        <v>0</v>
      </c>
      <c r="H212" s="166">
        <f t="shared" si="20"/>
        <v>4.495927972032633</v>
      </c>
      <c r="I212" s="166">
        <f t="shared" si="20"/>
        <v>3.8249934320166594</v>
      </c>
      <c r="J212" s="166">
        <f t="shared" si="20"/>
        <v>5.900059265654928</v>
      </c>
      <c r="K212" s="166">
        <f t="shared" si="20"/>
        <v>4.073743119076542</v>
      </c>
      <c r="L212" s="166">
        <f t="shared" si="20"/>
        <v>6.415381791516149</v>
      </c>
    </row>
    <row r="213" spans="2:12" ht="12.75" outlineLevel="1">
      <c r="B213" s="170" t="s">
        <v>221</v>
      </c>
      <c r="C213" s="167" t="s">
        <v>63</v>
      </c>
      <c r="E213" s="166">
        <f t="shared" si="20"/>
        <v>0.016334069488706672</v>
      </c>
      <c r="F213" s="166">
        <f t="shared" si="20"/>
        <v>0.01991051660980066</v>
      </c>
      <c r="G213" s="166">
        <f t="shared" si="20"/>
        <v>0</v>
      </c>
      <c r="H213" s="166">
        <f t="shared" si="20"/>
        <v>0.014255381374737617</v>
      </c>
      <c r="I213" s="166">
        <f t="shared" si="20"/>
        <v>0.011056621639423158</v>
      </c>
      <c r="J213" s="166">
        <f t="shared" si="20"/>
        <v>0.01685731218758551</v>
      </c>
      <c r="K213" s="166">
        <f t="shared" si="20"/>
        <v>0.014976996761310816</v>
      </c>
      <c r="L213" s="166">
        <f t="shared" si="20"/>
        <v>0.017451424966102663</v>
      </c>
    </row>
    <row r="214" spans="2:12" ht="12.75" outlineLevel="1">
      <c r="B214" s="170" t="s">
        <v>202</v>
      </c>
      <c r="C214" s="167" t="s">
        <v>63</v>
      </c>
      <c r="E214" s="166">
        <f t="shared" si="20"/>
        <v>0.03497294632858055</v>
      </c>
      <c r="F214" s="166">
        <f t="shared" si="20"/>
        <v>0.03011341815611642</v>
      </c>
      <c r="G214" s="166">
        <f t="shared" si="20"/>
        <v>0</v>
      </c>
      <c r="H214" s="166">
        <f t="shared" si="20"/>
        <v>0.02721481898813545</v>
      </c>
      <c r="I214" s="166">
        <f t="shared" si="20"/>
        <v>0.03077924402325906</v>
      </c>
      <c r="J214" s="166">
        <f t="shared" si="20"/>
        <v>0.03241018950351262</v>
      </c>
      <c r="K214" s="166">
        <f t="shared" si="20"/>
        <v>0.02995399352262163</v>
      </c>
      <c r="L214" s="166">
        <f t="shared" si="20"/>
        <v>0.03470453828486325</v>
      </c>
    </row>
    <row r="215" spans="2:12" ht="12.75" outlineLevel="1">
      <c r="B215" s="170" t="s">
        <v>203</v>
      </c>
      <c r="C215" s="167" t="s">
        <v>63</v>
      </c>
      <c r="E215" s="166">
        <f t="shared" si="20"/>
        <v>0.018839294870410153</v>
      </c>
      <c r="F215" s="166">
        <f t="shared" si="20"/>
        <v>0</v>
      </c>
      <c r="G215" s="166">
        <f t="shared" si="20"/>
        <v>0</v>
      </c>
      <c r="H215" s="166">
        <f t="shared" si="20"/>
        <v>0</v>
      </c>
      <c r="I215" s="166">
        <f t="shared" si="20"/>
        <v>0</v>
      </c>
      <c r="J215" s="166">
        <f t="shared" si="20"/>
        <v>0.012642984140689132</v>
      </c>
      <c r="K215" s="166">
        <f t="shared" si="20"/>
        <v>0.005990798704524326</v>
      </c>
      <c r="L215" s="166">
        <f t="shared" si="20"/>
        <v>0</v>
      </c>
    </row>
    <row r="216" spans="2:12" ht="12.75" outlineLevel="1">
      <c r="B216" s="170" t="s">
        <v>247</v>
      </c>
      <c r="C216" s="167"/>
      <c r="E216" s="164"/>
      <c r="F216" s="164"/>
      <c r="G216" s="164"/>
      <c r="H216" s="164"/>
      <c r="I216" s="164"/>
      <c r="J216" s="164"/>
      <c r="K216" s="164"/>
      <c r="L216" s="164"/>
    </row>
    <row r="217" spans="2:12" ht="12.75" outlineLevel="1">
      <c r="B217" s="287" t="s">
        <v>505</v>
      </c>
      <c r="C217" s="167"/>
      <c r="E217" s="164"/>
      <c r="F217" s="164"/>
      <c r="G217" s="164"/>
      <c r="H217" s="164"/>
      <c r="I217" s="164"/>
      <c r="J217" s="164"/>
      <c r="K217" s="164"/>
      <c r="L217" s="164"/>
    </row>
    <row r="218" spans="2:12" ht="12.75" outlineLevel="1">
      <c r="B218" s="288"/>
      <c r="C218" s="167"/>
      <c r="E218" s="164"/>
      <c r="F218" s="164"/>
      <c r="G218" s="164"/>
      <c r="H218" s="164"/>
      <c r="I218" s="164"/>
      <c r="J218" s="164"/>
      <c r="K218" s="164"/>
      <c r="L218" s="164"/>
    </row>
    <row r="219" spans="2:12" ht="12.75" outlineLevel="1">
      <c r="B219" s="289" t="s">
        <v>222</v>
      </c>
      <c r="C219" s="167"/>
      <c r="E219" s="164"/>
      <c r="F219" s="164"/>
      <c r="G219" s="164"/>
      <c r="H219" s="164"/>
      <c r="I219" s="164"/>
      <c r="J219" s="164"/>
      <c r="K219" s="164"/>
      <c r="L219" s="164"/>
    </row>
    <row r="220" spans="2:12" ht="12.75" outlineLevel="1">
      <c r="B220" s="288" t="s">
        <v>199</v>
      </c>
      <c r="C220" s="167"/>
      <c r="E220" s="164"/>
      <c r="F220" s="164"/>
      <c r="G220" s="164"/>
      <c r="H220" s="164"/>
      <c r="I220" s="164"/>
      <c r="J220" s="164"/>
      <c r="K220" s="164"/>
      <c r="L220" s="164"/>
    </row>
    <row r="221" spans="2:12" ht="12.75" outlineLevel="1">
      <c r="B221" s="288" t="s">
        <v>211</v>
      </c>
      <c r="C221" s="167"/>
      <c r="E221" s="164"/>
      <c r="F221" s="164"/>
      <c r="G221" s="164"/>
      <c r="H221" s="164"/>
      <c r="I221" s="164"/>
      <c r="J221" s="164"/>
      <c r="K221" s="164"/>
      <c r="L221" s="164"/>
    </row>
    <row r="222" spans="2:12" ht="12.75" outlineLevel="1">
      <c r="B222" s="288" t="s">
        <v>221</v>
      </c>
      <c r="C222" s="167"/>
      <c r="E222" s="164"/>
      <c r="F222" s="164"/>
      <c r="G222" s="164"/>
      <c r="H222" s="164"/>
      <c r="I222" s="164"/>
      <c r="J222" s="164"/>
      <c r="K222" s="164"/>
      <c r="L222" s="164"/>
    </row>
    <row r="223" spans="2:12" ht="12.75" outlineLevel="1">
      <c r="B223" s="288" t="s">
        <v>202</v>
      </c>
      <c r="C223" s="167"/>
      <c r="E223" s="164"/>
      <c r="F223" s="164"/>
      <c r="G223" s="164"/>
      <c r="H223" s="164"/>
      <c r="I223" s="164"/>
      <c r="J223" s="164"/>
      <c r="K223" s="164"/>
      <c r="L223" s="164"/>
    </row>
    <row r="224" spans="2:12" ht="12.75" outlineLevel="1">
      <c r="B224" s="288" t="s">
        <v>247</v>
      </c>
      <c r="C224" s="167"/>
      <c r="E224" s="164"/>
      <c r="F224" s="164"/>
      <c r="G224" s="164"/>
      <c r="H224" s="164"/>
      <c r="I224" s="164"/>
      <c r="J224" s="164"/>
      <c r="K224" s="164"/>
      <c r="L224" s="164"/>
    </row>
    <row r="225" spans="2:12" ht="12.75" outlineLevel="1">
      <c r="B225" s="289" t="s">
        <v>223</v>
      </c>
      <c r="C225" s="167"/>
      <c r="E225" s="164"/>
      <c r="F225" s="164"/>
      <c r="G225" s="164"/>
      <c r="H225" s="164"/>
      <c r="I225" s="164"/>
      <c r="J225" s="164"/>
      <c r="K225" s="164"/>
      <c r="L225" s="164"/>
    </row>
    <row r="226" spans="2:12" ht="12.75" outlineLevel="1">
      <c r="B226" s="288" t="s">
        <v>199</v>
      </c>
      <c r="C226" s="167"/>
      <c r="E226" s="164"/>
      <c r="F226" s="164"/>
      <c r="G226" s="164"/>
      <c r="H226" s="164"/>
      <c r="I226" s="164"/>
      <c r="J226" s="164"/>
      <c r="K226" s="164"/>
      <c r="L226" s="164"/>
    </row>
    <row r="227" spans="2:12" ht="12.75" outlineLevel="1">
      <c r="B227" s="288" t="s">
        <v>211</v>
      </c>
      <c r="C227" s="167"/>
      <c r="E227" s="164"/>
      <c r="F227" s="164"/>
      <c r="G227" s="164"/>
      <c r="H227" s="164"/>
      <c r="I227" s="164"/>
      <c r="J227" s="164"/>
      <c r="K227" s="164"/>
      <c r="L227" s="164"/>
    </row>
    <row r="228" spans="2:12" ht="12.75" outlineLevel="1">
      <c r="B228" s="288" t="s">
        <v>224</v>
      </c>
      <c r="C228" s="167"/>
      <c r="E228" s="164"/>
      <c r="F228" s="164"/>
      <c r="G228" s="164"/>
      <c r="H228" s="164"/>
      <c r="I228" s="164"/>
      <c r="J228" s="164"/>
      <c r="K228" s="164"/>
      <c r="L228" s="164"/>
    </row>
    <row r="229" spans="2:12" ht="12.75" outlineLevel="1">
      <c r="B229" s="288" t="s">
        <v>247</v>
      </c>
      <c r="C229" s="167"/>
      <c r="E229" s="164"/>
      <c r="F229" s="164"/>
      <c r="G229" s="164"/>
      <c r="H229" s="164"/>
      <c r="I229" s="164"/>
      <c r="J229" s="164"/>
      <c r="K229" s="164"/>
      <c r="L229" s="164"/>
    </row>
    <row r="230" spans="2:12" ht="12.75" outlineLevel="1">
      <c r="B230" s="289" t="s">
        <v>225</v>
      </c>
      <c r="C230" s="167"/>
      <c r="E230" s="164"/>
      <c r="F230" s="164"/>
      <c r="G230" s="164"/>
      <c r="H230" s="164"/>
      <c r="I230" s="164"/>
      <c r="J230" s="164"/>
      <c r="K230" s="164"/>
      <c r="L230" s="164"/>
    </row>
    <row r="231" spans="2:12" ht="12.75" outlineLevel="1">
      <c r="B231" s="288" t="s">
        <v>199</v>
      </c>
      <c r="C231" s="167"/>
      <c r="E231" s="164"/>
      <c r="F231" s="164"/>
      <c r="G231" s="164"/>
      <c r="H231" s="164"/>
      <c r="I231" s="164"/>
      <c r="J231" s="164"/>
      <c r="K231" s="164"/>
      <c r="L231" s="164"/>
    </row>
    <row r="232" spans="2:12" ht="12.75" outlineLevel="1">
      <c r="B232" s="288" t="s">
        <v>221</v>
      </c>
      <c r="C232" s="167"/>
      <c r="E232" s="164"/>
      <c r="F232" s="164"/>
      <c r="G232" s="164"/>
      <c r="H232" s="164"/>
      <c r="I232" s="164"/>
      <c r="J232" s="164"/>
      <c r="K232" s="164"/>
      <c r="L232" s="164"/>
    </row>
    <row r="233" spans="2:12" ht="12.75" outlineLevel="1">
      <c r="B233" s="288" t="s">
        <v>202</v>
      </c>
      <c r="C233" s="167"/>
      <c r="E233" s="164"/>
      <c r="F233" s="164"/>
      <c r="G233" s="164"/>
      <c r="H233" s="164"/>
      <c r="I233" s="164"/>
      <c r="J233" s="164"/>
      <c r="K233" s="164"/>
      <c r="L233" s="164"/>
    </row>
    <row r="234" spans="2:12" ht="12.75" outlineLevel="1">
      <c r="B234" s="288" t="s">
        <v>247</v>
      </c>
      <c r="C234" s="167"/>
      <c r="E234" s="164"/>
      <c r="F234" s="164"/>
      <c r="G234" s="164"/>
      <c r="H234" s="164"/>
      <c r="I234" s="164"/>
      <c r="J234" s="164"/>
      <c r="K234" s="164"/>
      <c r="L234" s="164"/>
    </row>
    <row r="235" spans="2:12" ht="12.75" outlineLevel="1">
      <c r="B235" s="289" t="s">
        <v>226</v>
      </c>
      <c r="C235" s="167"/>
      <c r="E235" s="164"/>
      <c r="F235" s="164"/>
      <c r="G235" s="164"/>
      <c r="H235" s="164"/>
      <c r="I235" s="164"/>
      <c r="J235" s="164"/>
      <c r="K235" s="164"/>
      <c r="L235" s="164"/>
    </row>
    <row r="236" spans="2:12" ht="12.75" outlineLevel="1">
      <c r="B236" s="288" t="s">
        <v>199</v>
      </c>
      <c r="C236" s="167"/>
      <c r="E236" s="164"/>
      <c r="F236" s="164"/>
      <c r="G236" s="164"/>
      <c r="H236" s="164"/>
      <c r="I236" s="164"/>
      <c r="J236" s="164"/>
      <c r="K236" s="164"/>
      <c r="L236" s="164"/>
    </row>
    <row r="237" spans="2:12" ht="12.75" outlineLevel="1">
      <c r="B237" s="288" t="s">
        <v>224</v>
      </c>
      <c r="C237" s="167"/>
      <c r="E237" s="164"/>
      <c r="F237" s="164"/>
      <c r="G237" s="164"/>
      <c r="H237" s="164"/>
      <c r="I237" s="164"/>
      <c r="J237" s="164"/>
      <c r="K237" s="164"/>
      <c r="L237" s="164"/>
    </row>
    <row r="238" spans="2:12" ht="12.75" outlineLevel="1">
      <c r="B238" s="288" t="s">
        <v>247</v>
      </c>
      <c r="C238" s="167"/>
      <c r="E238" s="164"/>
      <c r="F238" s="164"/>
      <c r="G238" s="164"/>
      <c r="H238" s="164"/>
      <c r="I238" s="164"/>
      <c r="J238" s="164"/>
      <c r="K238" s="164"/>
      <c r="L238" s="164"/>
    </row>
    <row r="239" spans="2:12" ht="12.75" outlineLevel="1">
      <c r="B239" s="289" t="s">
        <v>232</v>
      </c>
      <c r="C239" s="167"/>
      <c r="E239" s="164"/>
      <c r="F239" s="164"/>
      <c r="G239" s="164"/>
      <c r="H239" s="164"/>
      <c r="I239" s="164"/>
      <c r="J239" s="164"/>
      <c r="K239" s="164"/>
      <c r="L239" s="164"/>
    </row>
    <row r="240" spans="2:12" ht="12.75" outlineLevel="1">
      <c r="B240" s="288" t="s">
        <v>199</v>
      </c>
      <c r="C240" s="167"/>
      <c r="E240" s="164"/>
      <c r="F240" s="164"/>
      <c r="G240" s="164"/>
      <c r="H240" s="164"/>
      <c r="I240" s="164"/>
      <c r="J240" s="164"/>
      <c r="K240" s="164"/>
      <c r="L240" s="164"/>
    </row>
    <row r="241" spans="2:12" ht="12.75" outlineLevel="1">
      <c r="B241" s="288" t="s">
        <v>221</v>
      </c>
      <c r="C241" s="167"/>
      <c r="E241" s="164"/>
      <c r="F241" s="164"/>
      <c r="G241" s="164"/>
      <c r="H241" s="164"/>
      <c r="I241" s="164"/>
      <c r="J241" s="164"/>
      <c r="K241" s="164"/>
      <c r="L241" s="164"/>
    </row>
    <row r="242" spans="2:12" ht="12.75" outlineLevel="1">
      <c r="B242" s="288" t="s">
        <v>202</v>
      </c>
      <c r="C242" s="167"/>
      <c r="E242" s="164"/>
      <c r="F242" s="164"/>
      <c r="G242" s="164"/>
      <c r="H242" s="164"/>
      <c r="I242" s="164"/>
      <c r="J242" s="164"/>
      <c r="K242" s="164"/>
      <c r="L242" s="164"/>
    </row>
    <row r="243" spans="2:12" ht="12.75" outlineLevel="1">
      <c r="B243" s="62"/>
      <c r="C243" s="167"/>
      <c r="E243" s="164"/>
      <c r="F243" s="164"/>
      <c r="G243" s="164"/>
      <c r="H243" s="164"/>
      <c r="I243" s="164"/>
      <c r="J243" s="164"/>
      <c r="K243" s="164"/>
      <c r="L243" s="164"/>
    </row>
    <row r="244" spans="2:12" ht="12.75" outlineLevel="1">
      <c r="B244" s="171" t="s">
        <v>506</v>
      </c>
      <c r="C244" s="167"/>
      <c r="E244" s="164"/>
      <c r="F244" s="164"/>
      <c r="G244" s="164"/>
      <c r="H244" s="164"/>
      <c r="I244" s="164"/>
      <c r="J244" s="164"/>
      <c r="K244" s="164"/>
      <c r="L244" s="164"/>
    </row>
    <row r="245" spans="2:12" ht="12.75" outlineLevel="1">
      <c r="B245" s="170"/>
      <c r="C245" s="167"/>
      <c r="E245" s="164"/>
      <c r="F245" s="164"/>
      <c r="G245" s="164"/>
      <c r="H245" s="164"/>
      <c r="I245" s="164"/>
      <c r="J245" s="164"/>
      <c r="K245" s="164"/>
      <c r="L245" s="164"/>
    </row>
    <row r="246" spans="2:12" ht="12.75" outlineLevel="1">
      <c r="B246" s="172" t="s">
        <v>235</v>
      </c>
      <c r="C246" s="167"/>
      <c r="E246" s="164"/>
      <c r="F246" s="164"/>
      <c r="G246" s="164"/>
      <c r="H246" s="164"/>
      <c r="I246" s="164"/>
      <c r="J246" s="164"/>
      <c r="K246" s="164"/>
      <c r="L246" s="164"/>
    </row>
    <row r="247" spans="2:12" ht="12.75" outlineLevel="1">
      <c r="B247" s="170" t="s">
        <v>236</v>
      </c>
      <c r="C247" s="167" t="s">
        <v>63</v>
      </c>
      <c r="E247" s="166">
        <f aca="true" t="shared" si="21" ref="E247:L248">E102</f>
        <v>0.54</v>
      </c>
      <c r="F247" s="166">
        <f t="shared" si="21"/>
        <v>0.54</v>
      </c>
      <c r="G247" s="166">
        <f>G102</f>
        <v>0.54</v>
      </c>
      <c r="H247" s="166">
        <f>H102</f>
        <v>0.54</v>
      </c>
      <c r="I247" s="166">
        <f t="shared" si="21"/>
        <v>0.54</v>
      </c>
      <c r="J247" s="166">
        <f t="shared" si="21"/>
        <v>0.54</v>
      </c>
      <c r="K247" s="166">
        <f>K102</f>
        <v>0.54</v>
      </c>
      <c r="L247" s="166">
        <f t="shared" si="21"/>
        <v>0.54</v>
      </c>
    </row>
    <row r="248" spans="2:12" ht="12.75" outlineLevel="1">
      <c r="B248" s="170" t="s">
        <v>237</v>
      </c>
      <c r="C248" s="167" t="s">
        <v>63</v>
      </c>
      <c r="E248" s="166">
        <f t="shared" si="21"/>
        <v>18</v>
      </c>
      <c r="F248" s="166">
        <f t="shared" si="21"/>
        <v>18</v>
      </c>
      <c r="G248" s="166">
        <f>G103</f>
        <v>18</v>
      </c>
      <c r="H248" s="166">
        <f>H103</f>
        <v>18</v>
      </c>
      <c r="I248" s="166">
        <f t="shared" si="21"/>
        <v>18</v>
      </c>
      <c r="J248" s="166">
        <f t="shared" si="21"/>
        <v>18</v>
      </c>
      <c r="K248" s="166">
        <f>K103</f>
        <v>18</v>
      </c>
      <c r="L248" s="166">
        <f t="shared" si="21"/>
        <v>18</v>
      </c>
    </row>
    <row r="249" spans="2:12" ht="12.75" outlineLevel="1">
      <c r="B249" s="170"/>
      <c r="C249" s="167"/>
      <c r="E249" s="164"/>
      <c r="F249" s="164"/>
      <c r="G249" s="164"/>
      <c r="H249" s="164"/>
      <c r="I249" s="164"/>
      <c r="J249" s="164"/>
      <c r="K249" s="164"/>
      <c r="L249" s="164"/>
    </row>
    <row r="250" spans="2:12" ht="12.75" outlineLevel="1">
      <c r="B250" s="172" t="s">
        <v>238</v>
      </c>
      <c r="C250" s="167"/>
      <c r="E250" s="164"/>
      <c r="F250" s="164"/>
      <c r="G250" s="164"/>
      <c r="H250" s="164"/>
      <c r="I250" s="164"/>
      <c r="J250" s="164"/>
      <c r="K250" s="164"/>
      <c r="L250" s="164"/>
    </row>
    <row r="251" spans="2:12" ht="12.75" outlineLevel="1">
      <c r="B251" s="170" t="s">
        <v>239</v>
      </c>
      <c r="C251" s="167" t="s">
        <v>63</v>
      </c>
      <c r="E251" s="166">
        <f aca="true" t="shared" si="22" ref="E251:L256">E106*(E$147/E$146)</f>
        <v>1.7291065584517402</v>
      </c>
      <c r="F251" s="166">
        <f t="shared" si="22"/>
        <v>1.5230059347049012</v>
      </c>
      <c r="G251" s="166">
        <f t="shared" si="22"/>
        <v>1.323550859942532</v>
      </c>
      <c r="H251" s="166">
        <f t="shared" si="22"/>
        <v>1.3213641966583716</v>
      </c>
      <c r="I251" s="166">
        <f t="shared" si="22"/>
        <v>1.3432301153839754</v>
      </c>
      <c r="J251" s="166">
        <f t="shared" si="22"/>
        <v>1.3952436069546221</v>
      </c>
      <c r="K251" s="166">
        <f t="shared" si="22"/>
        <v>1.3119849162908275</v>
      </c>
      <c r="L251" s="166">
        <f t="shared" si="22"/>
        <v>1.789762617262233</v>
      </c>
    </row>
    <row r="252" spans="2:12" ht="12.75" outlineLevel="1">
      <c r="B252" s="170" t="s">
        <v>240</v>
      </c>
      <c r="C252" s="167" t="s">
        <v>63</v>
      </c>
      <c r="E252" s="166">
        <f t="shared" si="22"/>
        <v>138.3285246761392</v>
      </c>
      <c r="F252" s="166">
        <f t="shared" si="22"/>
        <v>121.8404747763921</v>
      </c>
      <c r="G252" s="166">
        <f t="shared" si="22"/>
        <v>105.88406879540256</v>
      </c>
      <c r="H252" s="166">
        <f t="shared" si="22"/>
        <v>105.70913573266972</v>
      </c>
      <c r="I252" s="166">
        <f t="shared" si="22"/>
        <v>107.45840923071803</v>
      </c>
      <c r="J252" s="166">
        <f t="shared" si="22"/>
        <v>111.61948855636976</v>
      </c>
      <c r="K252" s="166">
        <f t="shared" si="22"/>
        <v>104.9587933032662</v>
      </c>
      <c r="L252" s="166">
        <f t="shared" si="22"/>
        <v>143.18100938097865</v>
      </c>
    </row>
    <row r="253" spans="2:12" ht="12.75" outlineLevel="1">
      <c r="B253" s="170" t="s">
        <v>241</v>
      </c>
      <c r="C253" s="167" t="s">
        <v>63</v>
      </c>
      <c r="E253" s="166">
        <f t="shared" si="22"/>
        <v>691.6426233806961</v>
      </c>
      <c r="F253" s="166">
        <f t="shared" si="22"/>
        <v>609.2023738819605</v>
      </c>
      <c r="G253" s="166">
        <f t="shared" si="22"/>
        <v>529.4203439770129</v>
      </c>
      <c r="H253" s="166">
        <f t="shared" si="22"/>
        <v>528.5456786633486</v>
      </c>
      <c r="I253" s="166">
        <f t="shared" si="22"/>
        <v>537.2920461535901</v>
      </c>
      <c r="J253" s="166">
        <f t="shared" si="22"/>
        <v>558.0974427818488</v>
      </c>
      <c r="K253" s="166">
        <f t="shared" si="22"/>
        <v>524.793966516331</v>
      </c>
      <c r="L253" s="166">
        <f t="shared" si="22"/>
        <v>715.9050469048932</v>
      </c>
    </row>
    <row r="254" spans="2:12" ht="12.75" outlineLevel="1">
      <c r="B254" s="170" t="s">
        <v>242</v>
      </c>
      <c r="C254" s="167" t="s">
        <v>63</v>
      </c>
      <c r="E254" s="166">
        <f t="shared" si="22"/>
        <v>1037.463935071044</v>
      </c>
      <c r="F254" s="166">
        <f t="shared" si="22"/>
        <v>913.8035608229408</v>
      </c>
      <c r="G254" s="166">
        <f t="shared" si="22"/>
        <v>794.1305159655192</v>
      </c>
      <c r="H254" s="166">
        <f t="shared" si="22"/>
        <v>792.8185179950228</v>
      </c>
      <c r="I254" s="166">
        <f t="shared" si="22"/>
        <v>805.9380692303853</v>
      </c>
      <c r="J254" s="166">
        <f t="shared" si="22"/>
        <v>837.1461641727732</v>
      </c>
      <c r="K254" s="166">
        <f t="shared" si="22"/>
        <v>787.1909497744964</v>
      </c>
      <c r="L254" s="166">
        <f t="shared" si="22"/>
        <v>1073.85757035734</v>
      </c>
    </row>
    <row r="255" spans="2:12" ht="12.75" outlineLevel="1">
      <c r="B255" s="170" t="s">
        <v>243</v>
      </c>
      <c r="C255" s="167" t="s">
        <v>63</v>
      </c>
      <c r="E255" s="166">
        <f t="shared" si="22"/>
        <v>1383.2852467613923</v>
      </c>
      <c r="F255" s="166">
        <f t="shared" si="22"/>
        <v>1218.404747763921</v>
      </c>
      <c r="G255" s="166">
        <f t="shared" si="22"/>
        <v>1058.8406879540257</v>
      </c>
      <c r="H255" s="166">
        <f t="shared" si="22"/>
        <v>1057.091357326697</v>
      </c>
      <c r="I255" s="166">
        <f t="shared" si="22"/>
        <v>1074.5840923071803</v>
      </c>
      <c r="J255" s="166">
        <f t="shared" si="22"/>
        <v>1116.1948855636977</v>
      </c>
      <c r="K255" s="166">
        <f t="shared" si="22"/>
        <v>1049.587933032662</v>
      </c>
      <c r="L255" s="166">
        <f t="shared" si="22"/>
        <v>1431.8100938097864</v>
      </c>
    </row>
    <row r="256" spans="2:12" ht="12.75" outlineLevel="1">
      <c r="B256" s="170" t="s">
        <v>244</v>
      </c>
      <c r="C256" s="167" t="s">
        <v>63</v>
      </c>
      <c r="E256" s="166">
        <f t="shared" si="22"/>
        <v>1729.1065584517403</v>
      </c>
      <c r="F256" s="166">
        <f t="shared" si="22"/>
        <v>1523.0059347049012</v>
      </c>
      <c r="G256" s="166">
        <f t="shared" si="22"/>
        <v>1323.550859942532</v>
      </c>
      <c r="H256" s="166">
        <f t="shared" si="22"/>
        <v>1321.3641966583714</v>
      </c>
      <c r="I256" s="166">
        <f t="shared" si="22"/>
        <v>1343.2301153839753</v>
      </c>
      <c r="J256" s="166">
        <f t="shared" si="22"/>
        <v>1395.243606954622</v>
      </c>
      <c r="K256" s="166">
        <f t="shared" si="22"/>
        <v>1311.9849162908274</v>
      </c>
      <c r="L256" s="166">
        <f t="shared" si="22"/>
        <v>1789.762617262233</v>
      </c>
    </row>
    <row r="257" spans="2:12" ht="12.75" outlineLevel="1">
      <c r="B257" s="170" t="s">
        <v>247</v>
      </c>
      <c r="C257" s="167"/>
      <c r="E257" s="164"/>
      <c r="F257" s="164"/>
      <c r="G257" s="164"/>
      <c r="H257" s="164"/>
      <c r="I257" s="164"/>
      <c r="J257" s="164"/>
      <c r="K257" s="164"/>
      <c r="L257" s="164"/>
    </row>
    <row r="258" spans="2:12" ht="12.75" outlineLevel="1">
      <c r="B258" s="171" t="s">
        <v>227</v>
      </c>
      <c r="C258" s="168"/>
      <c r="E258" s="164"/>
      <c r="F258" s="164"/>
      <c r="G258" s="164"/>
      <c r="H258" s="164"/>
      <c r="I258" s="164"/>
      <c r="J258" s="164"/>
      <c r="K258" s="164"/>
      <c r="L258" s="164"/>
    </row>
    <row r="259" spans="2:12" ht="12.75" outlineLevel="1">
      <c r="B259" s="170" t="s">
        <v>247</v>
      </c>
      <c r="C259" s="167"/>
      <c r="E259" s="164"/>
      <c r="F259" s="164"/>
      <c r="G259" s="164"/>
      <c r="H259" s="164"/>
      <c r="I259" s="164"/>
      <c r="J259" s="164"/>
      <c r="K259" s="164"/>
      <c r="L259" s="164"/>
    </row>
    <row r="260" spans="2:12" ht="12.75" outlineLevel="1">
      <c r="B260" s="169" t="s">
        <v>348</v>
      </c>
      <c r="C260" s="167" t="s">
        <v>63</v>
      </c>
      <c r="E260" s="166">
        <f aca="true" t="shared" si="23" ref="E260:L265">E115*(E$147/E$146)</f>
        <v>5.170785187835977</v>
      </c>
      <c r="F260" s="166">
        <f t="shared" si="23"/>
        <v>1.9019000940705106</v>
      </c>
      <c r="G260" s="166">
        <f t="shared" si="23"/>
        <v>6.063030777530864</v>
      </c>
      <c r="H260" s="166">
        <f t="shared" si="23"/>
        <v>3.24982820151361</v>
      </c>
      <c r="I260" s="166">
        <f t="shared" si="23"/>
        <v>7.76951790878384</v>
      </c>
      <c r="J260" s="166">
        <f t="shared" si="23"/>
        <v>10.636161261214665</v>
      </c>
      <c r="K260" s="166">
        <f t="shared" si="23"/>
        <v>6.2304306527053</v>
      </c>
      <c r="L260" s="166">
        <f t="shared" si="23"/>
        <v>2.518557921244361</v>
      </c>
    </row>
    <row r="261" spans="2:12" ht="12.75" outlineLevel="1">
      <c r="B261" s="169" t="s">
        <v>349</v>
      </c>
      <c r="C261" s="167" t="s">
        <v>63</v>
      </c>
      <c r="E261" s="166">
        <f t="shared" si="23"/>
        <v>14.780829752050517</v>
      </c>
      <c r="F261" s="166">
        <f t="shared" si="23"/>
        <v>19.01900094070511</v>
      </c>
      <c r="G261" s="166">
        <f t="shared" si="23"/>
        <v>13.108992708401402</v>
      </c>
      <c r="H261" s="166">
        <f t="shared" si="23"/>
        <v>26.31762715336175</v>
      </c>
      <c r="I261" s="166">
        <f t="shared" si="23"/>
        <v>15.897628951819243</v>
      </c>
      <c r="J261" s="166">
        <f t="shared" si="23"/>
        <v>21.533209496761017</v>
      </c>
      <c r="K261" s="166">
        <f t="shared" si="23"/>
        <v>16.53460442448714</v>
      </c>
      <c r="L261" s="166">
        <f t="shared" si="23"/>
        <v>13.386036195590108</v>
      </c>
    </row>
    <row r="262" spans="2:12" s="63" customFormat="1" ht="12.75" outlineLevel="1">
      <c r="B262" s="169" t="s">
        <v>350</v>
      </c>
      <c r="C262" s="167" t="s">
        <v>63</v>
      </c>
      <c r="E262" s="166">
        <f t="shared" si="23"/>
        <v>14.780829752050517</v>
      </c>
      <c r="F262" s="166">
        <f t="shared" si="23"/>
        <v>31.26248279628402</v>
      </c>
      <c r="G262" s="166">
        <f t="shared" si="23"/>
        <v>13.108992708401404</v>
      </c>
      <c r="H262" s="166">
        <f t="shared" si="23"/>
        <v>30.00608247409806</v>
      </c>
      <c r="I262" s="166">
        <f t="shared" si="23"/>
        <v>26.290140842494065</v>
      </c>
      <c r="J262" s="166">
        <f t="shared" si="23"/>
        <v>34.91871810285569</v>
      </c>
      <c r="K262" s="166">
        <f t="shared" si="23"/>
        <v>32.82957690079331</v>
      </c>
      <c r="L262" s="166">
        <f t="shared" si="23"/>
        <v>35.41207238951815</v>
      </c>
    </row>
    <row r="263" spans="2:12" ht="12.75" outlineLevel="1">
      <c r="B263" s="169" t="s">
        <v>341</v>
      </c>
      <c r="C263" s="167" t="s">
        <v>63</v>
      </c>
      <c r="E263" s="166">
        <f t="shared" si="23"/>
        <v>154.64105117615497</v>
      </c>
      <c r="F263" s="166">
        <f t="shared" si="23"/>
        <v>111.62950645356997</v>
      </c>
      <c r="G263" s="166">
        <f t="shared" si="23"/>
        <v>196.9463143577722</v>
      </c>
      <c r="H263" s="166">
        <f t="shared" si="23"/>
        <v>142.55381374737615</v>
      </c>
      <c r="I263" s="166">
        <f t="shared" si="23"/>
        <v>276.5108291813584</v>
      </c>
      <c r="J263" s="166">
        <f t="shared" si="23"/>
        <v>97.22540965331527</v>
      </c>
      <c r="K263" s="166">
        <f t="shared" si="23"/>
        <v>46.72822989528974</v>
      </c>
      <c r="L263" s="166">
        <f t="shared" si="23"/>
        <v>169.4484444476223</v>
      </c>
    </row>
    <row r="264" spans="2:12" ht="12.75" outlineLevel="1">
      <c r="B264" s="169" t="s">
        <v>343</v>
      </c>
      <c r="C264" s="167" t="s">
        <v>63</v>
      </c>
      <c r="E264" s="166">
        <f t="shared" si="23"/>
        <v>405.39557126725674</v>
      </c>
      <c r="F264" s="166">
        <f t="shared" si="23"/>
        <v>906.7308698481161</v>
      </c>
      <c r="G264" s="166">
        <f t="shared" si="23"/>
        <v>566.2364682649732</v>
      </c>
      <c r="H264" s="166">
        <f t="shared" si="23"/>
        <v>567.224615540259</v>
      </c>
      <c r="I264" s="166">
        <f t="shared" si="23"/>
        <v>1397.8757467928738</v>
      </c>
      <c r="J264" s="166">
        <f t="shared" si="23"/>
        <v>501.6756389543925</v>
      </c>
      <c r="K264" s="166">
        <f t="shared" si="23"/>
        <v>427.865234786629</v>
      </c>
      <c r="L264" s="166">
        <f t="shared" si="23"/>
        <v>1284.521399997541</v>
      </c>
    </row>
    <row r="265" spans="2:12" ht="12.75" outlineLevel="1">
      <c r="B265" s="169" t="s">
        <v>345</v>
      </c>
      <c r="C265" s="167" t="s">
        <v>63</v>
      </c>
      <c r="E265" s="166">
        <f t="shared" si="23"/>
        <v>0</v>
      </c>
      <c r="F265" s="166">
        <f t="shared" si="23"/>
        <v>6039.7214862326655</v>
      </c>
      <c r="G265" s="166">
        <f t="shared" si="23"/>
        <v>2398.3058128984803</v>
      </c>
      <c r="H265" s="166">
        <f t="shared" si="23"/>
        <v>1568.6877233181358</v>
      </c>
      <c r="I265" s="166">
        <f t="shared" si="23"/>
        <v>7357.769755428807</v>
      </c>
      <c r="J265" s="166">
        <f t="shared" si="23"/>
        <v>0</v>
      </c>
      <c r="K265" s="166">
        <f t="shared" si="23"/>
        <v>5757.157555047877</v>
      </c>
      <c r="L265" s="166">
        <f t="shared" si="23"/>
        <v>5030.452571138028</v>
      </c>
    </row>
    <row r="266" spans="2:12" ht="12.75" outlineLevel="1">
      <c r="B266" s="170"/>
      <c r="C266" s="170"/>
      <c r="E266" s="164"/>
      <c r="F266" s="164"/>
      <c r="G266" s="164"/>
      <c r="H266" s="164"/>
      <c r="I266" s="164"/>
      <c r="J266" s="164"/>
      <c r="K266" s="164"/>
      <c r="L266" s="164"/>
    </row>
    <row r="267" spans="2:12" ht="12.75" outlineLevel="1">
      <c r="B267" s="170" t="s">
        <v>230</v>
      </c>
      <c r="C267" s="167" t="s">
        <v>63</v>
      </c>
      <c r="E267" s="166">
        <f aca="true" t="shared" si="24" ref="E267:L267">E122*(E$147/E$146)</f>
        <v>0</v>
      </c>
      <c r="F267" s="166">
        <f t="shared" si="24"/>
        <v>1.456142259522735</v>
      </c>
      <c r="G267" s="166">
        <f t="shared" si="24"/>
        <v>2.783349602526207</v>
      </c>
      <c r="H267" s="166">
        <f t="shared" si="24"/>
        <v>2.1830609222395307</v>
      </c>
      <c r="I267" s="166">
        <f t="shared" si="24"/>
        <v>1.4343725370062472</v>
      </c>
      <c r="J267" s="166">
        <f t="shared" si="24"/>
        <v>11.489060984991314</v>
      </c>
      <c r="K267" s="166">
        <f t="shared" si="24"/>
        <v>5.271902859981408</v>
      </c>
      <c r="L267" s="166">
        <f t="shared" si="24"/>
        <v>3.728258970031023</v>
      </c>
    </row>
    <row r="268" spans="2:12" ht="12.75" outlineLevel="1">
      <c r="B268" s="170" t="s">
        <v>247</v>
      </c>
      <c r="C268" s="167"/>
      <c r="E268" s="164"/>
      <c r="F268" s="164"/>
      <c r="G268" s="164"/>
      <c r="H268" s="164"/>
      <c r="I268" s="164"/>
      <c r="J268" s="164"/>
      <c r="K268" s="164"/>
      <c r="L268" s="164"/>
    </row>
    <row r="269" spans="2:12" ht="12.75" outlineLevel="1">
      <c r="B269" s="171" t="s">
        <v>229</v>
      </c>
      <c r="C269" s="171"/>
      <c r="E269" s="164"/>
      <c r="F269" s="164"/>
      <c r="G269" s="164"/>
      <c r="H269" s="164"/>
      <c r="I269" s="164"/>
      <c r="J269" s="164"/>
      <c r="K269" s="164"/>
      <c r="L269" s="164"/>
    </row>
    <row r="270" spans="2:12" ht="12.75" outlineLevel="1">
      <c r="B270" s="171"/>
      <c r="C270" s="171"/>
      <c r="E270" s="164"/>
      <c r="F270" s="164"/>
      <c r="G270" s="164"/>
      <c r="H270" s="164"/>
      <c r="I270" s="164"/>
      <c r="J270" s="164"/>
      <c r="K270" s="164"/>
      <c r="L270" s="164"/>
    </row>
    <row r="271" spans="2:12" ht="12.75" outlineLevel="1">
      <c r="B271" s="172" t="s">
        <v>490</v>
      </c>
      <c r="C271" s="172"/>
      <c r="E271" s="164"/>
      <c r="F271" s="164"/>
      <c r="G271" s="164"/>
      <c r="H271" s="164"/>
      <c r="I271" s="164"/>
      <c r="J271" s="164"/>
      <c r="K271" s="164"/>
      <c r="L271" s="164"/>
    </row>
    <row r="272" spans="2:12" ht="12.75" outlineLevel="1">
      <c r="B272" s="169" t="s">
        <v>348</v>
      </c>
      <c r="C272" s="167" t="s">
        <v>63</v>
      </c>
      <c r="E272" s="166">
        <f>E127</f>
        <v>350</v>
      </c>
      <c r="F272" s="166">
        <f aca="true" t="shared" si="25" ref="F272:L272">F127</f>
        <v>284.07</v>
      </c>
      <c r="G272" s="166">
        <f t="shared" si="25"/>
        <v>345.18</v>
      </c>
      <c r="H272" s="166">
        <f t="shared" si="25"/>
        <v>296</v>
      </c>
      <c r="I272" s="166">
        <f t="shared" si="25"/>
        <v>329.4</v>
      </c>
      <c r="J272" s="166">
        <f t="shared" si="25"/>
        <v>363</v>
      </c>
      <c r="K272" s="166">
        <f t="shared" si="25"/>
        <v>327.86</v>
      </c>
      <c r="L272" s="166">
        <f t="shared" si="25"/>
        <v>356.53</v>
      </c>
    </row>
    <row r="273" spans="2:12" ht="12.75" outlineLevel="1">
      <c r="B273" s="169" t="s">
        <v>349</v>
      </c>
      <c r="C273" s="167" t="s">
        <v>63</v>
      </c>
      <c r="E273" s="166">
        <f>E128</f>
        <v>585</v>
      </c>
      <c r="F273" s="166">
        <f aca="true" t="shared" si="26" ref="F273:L275">F128</f>
        <v>539.31</v>
      </c>
      <c r="G273" s="166">
        <f t="shared" si="26"/>
        <v>542.6</v>
      </c>
      <c r="H273" s="166">
        <f t="shared" si="26"/>
        <v>568</v>
      </c>
      <c r="I273" s="166">
        <f t="shared" si="26"/>
        <v>546.7</v>
      </c>
      <c r="J273" s="166">
        <f t="shared" si="26"/>
        <v>615</v>
      </c>
      <c r="K273" s="166">
        <f t="shared" si="26"/>
        <v>479.57</v>
      </c>
      <c r="L273" s="166">
        <f t="shared" si="26"/>
        <v>678.65</v>
      </c>
    </row>
    <row r="274" spans="2:12" ht="12.75" outlineLevel="1">
      <c r="B274" s="169" t="s">
        <v>350</v>
      </c>
      <c r="C274" s="167" t="s">
        <v>63</v>
      </c>
      <c r="E274" s="166">
        <f>E129</f>
        <v>990.7999999999998</v>
      </c>
      <c r="F274" s="166">
        <f t="shared" si="26"/>
        <v>863.2800980392157</v>
      </c>
      <c r="G274" s="166">
        <f t="shared" si="26"/>
        <v>771.9972350230414</v>
      </c>
      <c r="H274" s="166">
        <f t="shared" si="26"/>
        <v>790.9105099508354</v>
      </c>
      <c r="I274" s="166">
        <f t="shared" si="26"/>
        <v>916.9934644995723</v>
      </c>
      <c r="J274" s="166">
        <f t="shared" si="26"/>
        <v>945.6470588235294</v>
      </c>
      <c r="K274" s="166">
        <f t="shared" si="26"/>
        <v>800.5396111319483</v>
      </c>
      <c r="L274" s="166">
        <f t="shared" si="26"/>
        <v>920.2499115044247</v>
      </c>
    </row>
    <row r="275" spans="2:12" ht="12.75" outlineLevel="1">
      <c r="B275" s="169" t="s">
        <v>341</v>
      </c>
      <c r="C275" s="167" t="s">
        <v>63</v>
      </c>
      <c r="E275" s="166">
        <f>E130</f>
        <v>7788.407023221955</v>
      </c>
      <c r="F275" s="166">
        <f t="shared" si="26"/>
        <v>5461.872244897959</v>
      </c>
      <c r="G275" s="166">
        <f t="shared" si="26"/>
        <v>5772.253454545455</v>
      </c>
      <c r="H275" s="166">
        <f t="shared" si="26"/>
        <v>4842.556381900765</v>
      </c>
      <c r="I275" s="166">
        <f t="shared" si="26"/>
        <v>7412.166608280255</v>
      </c>
      <c r="J275" s="166">
        <f t="shared" si="26"/>
        <v>5607.777777777777</v>
      </c>
      <c r="K275" s="166">
        <f t="shared" si="26"/>
        <v>7177.5757482042045</v>
      </c>
      <c r="L275" s="166">
        <f t="shared" si="26"/>
        <v>5435.89</v>
      </c>
    </row>
    <row r="276" spans="2:12" ht="12.75" outlineLevel="1">
      <c r="B276" s="169" t="s">
        <v>216</v>
      </c>
      <c r="C276" s="167" t="s">
        <v>63</v>
      </c>
      <c r="E276" s="166">
        <f aca="true" t="shared" si="27" ref="E276:L276">E131</f>
        <v>0</v>
      </c>
      <c r="F276" s="166">
        <f t="shared" si="27"/>
        <v>75115.32090909091</v>
      </c>
      <c r="G276" s="166">
        <f t="shared" si="27"/>
        <v>22321.52</v>
      </c>
      <c r="H276" s="166">
        <f t="shared" si="27"/>
        <v>34364.06221852846</v>
      </c>
      <c r="I276" s="166">
        <f t="shared" si="27"/>
        <v>89048.88776470587</v>
      </c>
      <c r="J276" s="166">
        <f t="shared" si="27"/>
        <v>0</v>
      </c>
      <c r="K276" s="166">
        <f t="shared" si="27"/>
        <v>76237.54539410151</v>
      </c>
      <c r="L276" s="166">
        <f t="shared" si="27"/>
        <v>50208.40185185185</v>
      </c>
    </row>
    <row r="277" spans="2:12" ht="12.75" outlineLevel="1">
      <c r="B277" s="44"/>
      <c r="C277" s="44"/>
      <c r="E277" s="164"/>
      <c r="F277" s="164"/>
      <c r="G277" s="164"/>
      <c r="H277" s="164"/>
      <c r="I277" s="164"/>
      <c r="J277" s="164"/>
      <c r="K277" s="164"/>
      <c r="L277" s="164"/>
    </row>
    <row r="278" spans="2:12" ht="12.75" outlineLevel="1">
      <c r="B278" s="172" t="s">
        <v>495</v>
      </c>
      <c r="C278" s="172"/>
      <c r="E278" s="164"/>
      <c r="F278" s="164"/>
      <c r="G278" s="164"/>
      <c r="H278" s="164"/>
      <c r="I278" s="164"/>
      <c r="J278" s="164"/>
      <c r="K278" s="164"/>
      <c r="L278" s="164"/>
    </row>
    <row r="279" spans="2:12" ht="12.75" outlineLevel="1">
      <c r="B279" s="169" t="s">
        <v>348</v>
      </c>
      <c r="C279" s="167" t="s">
        <v>63</v>
      </c>
      <c r="E279" s="166">
        <f>E134</f>
        <v>17.36</v>
      </c>
      <c r="F279" s="166">
        <f aca="true" t="shared" si="28" ref="F279:L279">F134</f>
        <v>14.07</v>
      </c>
      <c r="G279" s="166">
        <f t="shared" si="28"/>
        <v>23.04</v>
      </c>
      <c r="H279" s="166">
        <f t="shared" si="28"/>
        <v>14</v>
      </c>
      <c r="I279" s="166">
        <f t="shared" si="28"/>
        <v>16.35</v>
      </c>
      <c r="J279" s="166">
        <f t="shared" si="28"/>
        <v>18.09</v>
      </c>
      <c r="K279" s="166">
        <f t="shared" si="28"/>
        <v>15.23</v>
      </c>
      <c r="L279" s="166">
        <f t="shared" si="28"/>
        <v>17.67</v>
      </c>
    </row>
    <row r="280" spans="2:12" ht="12.75" outlineLevel="1">
      <c r="B280" s="169" t="s">
        <v>349</v>
      </c>
      <c r="C280" s="167" t="s">
        <v>63</v>
      </c>
      <c r="E280" s="166">
        <f aca="true" t="shared" si="29" ref="E280:L280">E135</f>
        <v>17.66</v>
      </c>
      <c r="F280" s="166">
        <f t="shared" si="29"/>
        <v>22.89</v>
      </c>
      <c r="G280" s="166">
        <f t="shared" si="29"/>
        <v>23.92</v>
      </c>
      <c r="H280" s="166">
        <f t="shared" si="29"/>
        <v>16</v>
      </c>
      <c r="I280" s="166">
        <f t="shared" si="29"/>
        <v>21.6</v>
      </c>
      <c r="J280" s="166">
        <f t="shared" si="29"/>
        <v>21.2</v>
      </c>
      <c r="K280" s="166">
        <f t="shared" si="29"/>
        <v>21.06</v>
      </c>
      <c r="L280" s="166">
        <f t="shared" si="29"/>
        <v>25.53</v>
      </c>
    </row>
    <row r="281" spans="2:12" ht="12.75" outlineLevel="1">
      <c r="B281" s="169" t="s">
        <v>350</v>
      </c>
      <c r="C281" s="167" t="s">
        <v>63</v>
      </c>
      <c r="E281" s="166">
        <f aca="true" t="shared" si="30" ref="E281:L281">E136</f>
        <v>24.73</v>
      </c>
      <c r="F281" s="166">
        <f t="shared" si="30"/>
        <v>29.27078787878788</v>
      </c>
      <c r="G281" s="166">
        <f t="shared" si="30"/>
        <v>39.8344052195519</v>
      </c>
      <c r="H281" s="166">
        <f t="shared" si="30"/>
        <v>21</v>
      </c>
      <c r="I281" s="166">
        <f t="shared" si="30"/>
        <v>28.695361297897318</v>
      </c>
      <c r="J281" s="166">
        <f t="shared" si="30"/>
        <v>27.19037037037037</v>
      </c>
      <c r="K281" s="166">
        <f t="shared" si="30"/>
        <v>29.02403589421483</v>
      </c>
      <c r="L281" s="166">
        <f t="shared" si="30"/>
        <v>29.956037116111023</v>
      </c>
    </row>
    <row r="282" spans="2:12" ht="12.75" outlineLevel="1">
      <c r="B282" s="169" t="s">
        <v>341</v>
      </c>
      <c r="C282" s="167" t="s">
        <v>63</v>
      </c>
      <c r="E282" s="166">
        <f aca="true" t="shared" si="31" ref="E282:L282">E137</f>
        <v>43.60522982874321</v>
      </c>
      <c r="F282" s="166">
        <f t="shared" si="31"/>
        <v>48.5005477472744</v>
      </c>
      <c r="G282" s="166">
        <f t="shared" si="31"/>
        <v>55.6281318893831</v>
      </c>
      <c r="H282" s="166">
        <f t="shared" si="31"/>
        <v>30.752076997041588</v>
      </c>
      <c r="I282" s="166">
        <f t="shared" si="31"/>
        <v>60.51990983319725</v>
      </c>
      <c r="J282" s="166">
        <f t="shared" si="31"/>
        <v>45.276984126984125</v>
      </c>
      <c r="K282" s="166">
        <f t="shared" si="31"/>
        <v>50.591065082043706</v>
      </c>
      <c r="L282" s="166">
        <f t="shared" si="31"/>
        <v>77.93368499701135</v>
      </c>
    </row>
    <row r="283" spans="2:12" ht="12.75" outlineLevel="1">
      <c r="B283" s="169" t="s">
        <v>216</v>
      </c>
      <c r="C283" s="167" t="s">
        <v>63</v>
      </c>
      <c r="E283" s="166">
        <f aca="true" t="shared" si="32" ref="E283:L283">E138</f>
        <v>0</v>
      </c>
      <c r="F283" s="166">
        <f t="shared" si="32"/>
        <v>113.88165415791055</v>
      </c>
      <c r="G283" s="166">
        <f t="shared" si="32"/>
        <v>0</v>
      </c>
      <c r="H283" s="166">
        <f t="shared" si="32"/>
        <v>102.20407298093771</v>
      </c>
      <c r="I283" s="166">
        <f t="shared" si="32"/>
        <v>130.4542727184614</v>
      </c>
      <c r="J283" s="166">
        <f t="shared" si="32"/>
        <v>0</v>
      </c>
      <c r="K283" s="166">
        <f t="shared" si="32"/>
        <v>138.61673789847111</v>
      </c>
      <c r="L283" s="166">
        <f t="shared" si="32"/>
        <v>149.74433047192775</v>
      </c>
    </row>
    <row r="284" spans="2:12" ht="12.75">
      <c r="B284" s="167"/>
      <c r="C284" s="167"/>
      <c r="E284" s="165"/>
      <c r="F284" s="165"/>
      <c r="G284" s="165"/>
      <c r="H284" s="165"/>
      <c r="I284" s="165"/>
      <c r="J284" s="165"/>
      <c r="K284" s="165"/>
      <c r="L284" s="165"/>
    </row>
    <row r="285" spans="3:12" ht="12.75">
      <c r="C285" s="173"/>
      <c r="E285" s="165"/>
      <c r="F285" s="165"/>
      <c r="G285" s="165"/>
      <c r="H285" s="165"/>
      <c r="I285" s="165"/>
      <c r="J285" s="165"/>
      <c r="K285" s="165"/>
      <c r="L285" s="165"/>
    </row>
    <row r="286" spans="2:12" s="60" customFormat="1" ht="12.75">
      <c r="B286" s="59" t="s">
        <v>246</v>
      </c>
      <c r="C286" s="59"/>
      <c r="E286" s="182"/>
      <c r="F286" s="182"/>
      <c r="G286" s="182"/>
      <c r="H286" s="182"/>
      <c r="I286" s="182"/>
      <c r="J286" s="182"/>
      <c r="K286" s="182"/>
      <c r="L286" s="182"/>
    </row>
    <row r="287" spans="3:12" ht="12.75">
      <c r="C287" s="173"/>
      <c r="E287" s="165"/>
      <c r="F287" s="165"/>
      <c r="G287" s="165"/>
      <c r="H287" s="165"/>
      <c r="I287" s="165"/>
      <c r="J287" s="165"/>
      <c r="K287" s="165"/>
      <c r="L287" s="165"/>
    </row>
    <row r="288" spans="2:12" ht="12.75" outlineLevel="1">
      <c r="B288" s="279" t="s">
        <v>504</v>
      </c>
      <c r="C288" s="168"/>
      <c r="E288" s="267"/>
      <c r="F288" s="165"/>
      <c r="G288" s="165"/>
      <c r="H288" s="165"/>
      <c r="I288" s="165"/>
      <c r="J288" s="165"/>
      <c r="K288" s="165"/>
      <c r="L288" s="165"/>
    </row>
    <row r="289" spans="2:12" ht="12.75" outlineLevel="1">
      <c r="B289" s="43"/>
      <c r="C289" s="168"/>
      <c r="E289" s="267"/>
      <c r="F289" s="165"/>
      <c r="G289" s="165"/>
      <c r="H289" s="165"/>
      <c r="I289" s="165"/>
      <c r="J289" s="165"/>
      <c r="K289" s="165"/>
      <c r="L289" s="165"/>
    </row>
    <row r="290" spans="2:12" ht="12.75" outlineLevel="1">
      <c r="B290" s="172" t="s">
        <v>198</v>
      </c>
      <c r="C290" s="168"/>
      <c r="E290" s="267"/>
      <c r="F290" s="165"/>
      <c r="G290" s="165"/>
      <c r="H290" s="165"/>
      <c r="I290" s="165"/>
      <c r="J290" s="165"/>
      <c r="K290" s="165"/>
      <c r="L290" s="165"/>
    </row>
    <row r="291" spans="2:12" ht="12.75" outlineLevel="1">
      <c r="B291" s="170" t="s">
        <v>199</v>
      </c>
      <c r="C291" s="167"/>
      <c r="D291" s="31">
        <f>SUMPRODUCT(E154:L154,Rekenvolumes!E132:L132)/SUM(Rekenvolumes!E132:L132)</f>
        <v>2760</v>
      </c>
      <c r="E291" s="267"/>
      <c r="F291" s="165"/>
      <c r="G291" s="165"/>
      <c r="H291" s="165"/>
      <c r="I291" s="165"/>
      <c r="J291" s="165"/>
      <c r="K291" s="165"/>
      <c r="L291" s="165"/>
    </row>
    <row r="292" spans="2:12" ht="12.75" outlineLevel="1">
      <c r="B292" s="170" t="s">
        <v>200</v>
      </c>
      <c r="C292" s="167"/>
      <c r="D292" s="31">
        <f>SUMPRODUCT(E155:L155,Rekenvolumes!E133:L133)/SUM(Rekenvolumes!E133:L133)</f>
        <v>8.457740510167133</v>
      </c>
      <c r="E292" s="267"/>
      <c r="F292" s="165"/>
      <c r="G292" s="165"/>
      <c r="H292" s="165"/>
      <c r="I292" s="165"/>
      <c r="J292" s="165"/>
      <c r="K292" s="165"/>
      <c r="L292" s="165"/>
    </row>
    <row r="293" spans="2:12" ht="12.75" outlineLevel="1">
      <c r="B293" s="170" t="s">
        <v>201</v>
      </c>
      <c r="C293" s="167"/>
      <c r="D293" s="31">
        <f>SUMPRODUCT(E156:L156,Rekenvolumes!E134:L134)/SUM(Rekenvolumes!E134:L134)</f>
        <v>0.8443918291276353</v>
      </c>
      <c r="E293" s="267"/>
      <c r="F293" s="165"/>
      <c r="G293" s="165"/>
      <c r="H293" s="165"/>
      <c r="I293" s="165"/>
      <c r="J293" s="165"/>
      <c r="K293" s="165"/>
      <c r="L293" s="165"/>
    </row>
    <row r="294" spans="2:12" ht="12.75" outlineLevel="1">
      <c r="B294" s="170" t="s">
        <v>203</v>
      </c>
      <c r="C294" s="167"/>
      <c r="D294" s="31">
        <v>0</v>
      </c>
      <c r="E294" s="267"/>
      <c r="F294" s="165"/>
      <c r="G294" s="165"/>
      <c r="H294" s="165"/>
      <c r="I294" s="165"/>
      <c r="J294" s="165"/>
      <c r="K294" s="165"/>
      <c r="L294" s="165"/>
    </row>
    <row r="295" spans="2:12" ht="12.75" outlineLevel="1">
      <c r="B295" s="170" t="s">
        <v>247</v>
      </c>
      <c r="C295" s="167"/>
      <c r="D295" s="37"/>
      <c r="E295" s="267"/>
      <c r="F295" s="165"/>
      <c r="G295" s="165"/>
      <c r="H295" s="165"/>
      <c r="I295" s="165"/>
      <c r="J295" s="165"/>
      <c r="K295" s="165"/>
      <c r="L295" s="165"/>
    </row>
    <row r="296" spans="2:12" ht="12.75" outlineLevel="1">
      <c r="B296" s="172" t="s">
        <v>204</v>
      </c>
      <c r="C296" s="168"/>
      <c r="D296" s="37"/>
      <c r="E296" s="267"/>
      <c r="F296" s="165"/>
      <c r="G296" s="165"/>
      <c r="H296" s="165"/>
      <c r="I296" s="165"/>
      <c r="J296" s="165"/>
      <c r="K296" s="165"/>
      <c r="L296" s="165"/>
    </row>
    <row r="297" spans="2:12" ht="12.75" outlineLevel="1">
      <c r="B297" s="170" t="s">
        <v>199</v>
      </c>
      <c r="C297" s="167"/>
      <c r="D297" s="31">
        <f>SUMPRODUCT(E160:L160,Rekenvolumes!E138:L138)/SUM(Rekenvolumes!E138:L138)</f>
        <v>2760</v>
      </c>
      <c r="E297" s="267"/>
      <c r="F297" s="165"/>
      <c r="G297" s="165"/>
      <c r="H297" s="165"/>
      <c r="I297" s="165"/>
      <c r="J297" s="165"/>
      <c r="K297" s="165"/>
      <c r="L297" s="165"/>
    </row>
    <row r="298" spans="2:12" ht="12.75" outlineLevel="1">
      <c r="B298" s="170" t="s">
        <v>200</v>
      </c>
      <c r="C298" s="167"/>
      <c r="D298" s="31">
        <f>SUMPRODUCT(E161:L161,Rekenvolumes!E139:L139)/SUM(Rekenvolumes!E139:L139)</f>
        <v>4.253467080212271</v>
      </c>
      <c r="E298" s="267"/>
      <c r="F298" s="165"/>
      <c r="G298" s="165"/>
      <c r="H298" s="165"/>
      <c r="I298" s="165"/>
      <c r="J298" s="165"/>
      <c r="K298" s="165"/>
      <c r="L298" s="165"/>
    </row>
    <row r="299" spans="2:12" ht="12.75" outlineLevel="1">
      <c r="B299" s="170" t="s">
        <v>205</v>
      </c>
      <c r="C299" s="167"/>
      <c r="D299" s="31">
        <f>SUMPRODUCT(E162:L162,Rekenvolumes!E140:L140)/SUM(Rekenvolumes!E140:L140)</f>
        <v>0.28955527071867576</v>
      </c>
      <c r="E299" s="267"/>
      <c r="F299" s="165"/>
      <c r="G299" s="165"/>
      <c r="H299" s="165"/>
      <c r="I299" s="165"/>
      <c r="J299" s="165"/>
      <c r="K299" s="165"/>
      <c r="L299" s="165"/>
    </row>
    <row r="300" spans="2:12" ht="12.75" outlineLevel="1">
      <c r="B300" s="170" t="s">
        <v>203</v>
      </c>
      <c r="C300" s="167"/>
      <c r="D300" s="31">
        <f>SUMPRODUCT(E163:L163,Rekenvolumes!E141:L141)/SUM(Rekenvolumes!E141:L141)</f>
        <v>0.005990798704524326</v>
      </c>
      <c r="E300" s="267"/>
      <c r="F300" s="165"/>
      <c r="G300" s="165"/>
      <c r="H300" s="165"/>
      <c r="I300" s="165"/>
      <c r="J300" s="165"/>
      <c r="K300" s="165"/>
      <c r="L300" s="165"/>
    </row>
    <row r="301" spans="2:12" ht="12.75" outlineLevel="1">
      <c r="B301" s="170" t="s">
        <v>247</v>
      </c>
      <c r="C301" s="167"/>
      <c r="D301" s="37"/>
      <c r="E301" s="267"/>
      <c r="F301" s="165"/>
      <c r="G301" s="165"/>
      <c r="H301" s="165"/>
      <c r="I301" s="165"/>
      <c r="J301" s="165"/>
      <c r="K301" s="165"/>
      <c r="L301" s="165"/>
    </row>
    <row r="302" spans="2:12" ht="12.75" outlineLevel="1">
      <c r="B302" s="172" t="s">
        <v>206</v>
      </c>
      <c r="C302" s="168"/>
      <c r="D302" s="37"/>
      <c r="E302" s="267"/>
      <c r="F302" s="165"/>
      <c r="G302" s="165"/>
      <c r="H302" s="165"/>
      <c r="I302" s="165"/>
      <c r="J302" s="165"/>
      <c r="K302" s="165"/>
      <c r="L302" s="165"/>
    </row>
    <row r="303" spans="2:12" ht="12.75" outlineLevel="1">
      <c r="B303" s="170" t="s">
        <v>199</v>
      </c>
      <c r="C303" s="167"/>
      <c r="D303" s="31">
        <f>SUMPRODUCT(E166:L166,Rekenvolumes!E144:L144)/SUM(Rekenvolumes!E144:L144)</f>
        <v>2760</v>
      </c>
      <c r="E303" s="267"/>
      <c r="F303" s="165"/>
      <c r="G303" s="165"/>
      <c r="H303" s="165"/>
      <c r="I303" s="165"/>
      <c r="J303" s="165"/>
      <c r="K303" s="165"/>
      <c r="L303" s="165"/>
    </row>
    <row r="304" spans="2:12" ht="12.75" outlineLevel="1">
      <c r="B304" s="170" t="s">
        <v>200</v>
      </c>
      <c r="C304" s="167"/>
      <c r="D304" s="31">
        <f>SUMPRODUCT(E167:L167,Rekenvolumes!E145:L145)/SUM(Rekenvolumes!E145:L145)</f>
        <v>14.14676040748854</v>
      </c>
      <c r="E304" s="267"/>
      <c r="F304" s="165"/>
      <c r="G304" s="165"/>
      <c r="H304" s="165"/>
      <c r="I304" s="165"/>
      <c r="J304" s="165"/>
      <c r="K304" s="165"/>
      <c r="L304" s="165"/>
    </row>
    <row r="305" spans="2:12" ht="12.75" outlineLevel="1">
      <c r="B305" s="170" t="s">
        <v>201</v>
      </c>
      <c r="C305" s="167"/>
      <c r="D305" s="31">
        <f>SUMPRODUCT(E168:L168,Rekenvolumes!E146:L146)/SUM(Rekenvolumes!E146:L146)</f>
        <v>1.529609111722737</v>
      </c>
      <c r="E305" s="267"/>
      <c r="F305" s="165"/>
      <c r="G305" s="165"/>
      <c r="H305" s="165"/>
      <c r="I305" s="165"/>
      <c r="J305" s="165"/>
      <c r="K305" s="165"/>
      <c r="L305" s="165"/>
    </row>
    <row r="306" spans="2:12" ht="12.75" outlineLevel="1">
      <c r="B306" s="170" t="s">
        <v>203</v>
      </c>
      <c r="C306" s="167"/>
      <c r="D306" s="31">
        <f>SUMPRODUCT(E169:L169,Rekenvolumes!E147:L147)/SUM(Rekenvolumes!E147:L147)</f>
        <v>0.005985033607755233</v>
      </c>
      <c r="E306" s="267"/>
      <c r="F306" s="165"/>
      <c r="G306" s="165"/>
      <c r="H306" s="165"/>
      <c r="I306" s="165"/>
      <c r="J306" s="165"/>
      <c r="K306" s="165"/>
      <c r="L306" s="165"/>
    </row>
    <row r="307" spans="2:12" ht="12.75" outlineLevel="1">
      <c r="B307" s="170" t="s">
        <v>247</v>
      </c>
      <c r="C307" s="167"/>
      <c r="D307" s="37"/>
      <c r="E307" s="267"/>
      <c r="F307" s="165"/>
      <c r="G307" s="165"/>
      <c r="H307" s="165"/>
      <c r="I307" s="165"/>
      <c r="J307" s="165"/>
      <c r="K307" s="165"/>
      <c r="L307" s="165"/>
    </row>
    <row r="308" spans="2:12" ht="12.75" outlineLevel="1">
      <c r="B308" s="172" t="s">
        <v>207</v>
      </c>
      <c r="C308" s="168"/>
      <c r="D308" s="37"/>
      <c r="E308" s="267"/>
      <c r="F308" s="165"/>
      <c r="G308" s="165"/>
      <c r="H308" s="165"/>
      <c r="I308" s="165"/>
      <c r="J308" s="165"/>
      <c r="K308" s="165"/>
      <c r="L308" s="165"/>
    </row>
    <row r="309" spans="2:12" ht="12.75" outlineLevel="1">
      <c r="B309" s="170" t="s">
        <v>199</v>
      </c>
      <c r="C309" s="167"/>
      <c r="D309" s="31">
        <f>SUMPRODUCT(E172:L172,Rekenvolumes!E150:L150)/SUM(Rekenvolumes!E150:L150)</f>
        <v>2760</v>
      </c>
      <c r="E309" s="267"/>
      <c r="F309" s="165"/>
      <c r="G309" s="165"/>
      <c r="H309" s="165"/>
      <c r="I309" s="165"/>
      <c r="J309" s="165"/>
      <c r="K309" s="165"/>
      <c r="L309" s="165"/>
    </row>
    <row r="310" spans="2:12" ht="12.75" outlineLevel="1">
      <c r="B310" s="170" t="s">
        <v>200</v>
      </c>
      <c r="C310" s="167"/>
      <c r="D310" s="31">
        <f>SUMPRODUCT(E173:L173,Rekenvolumes!E151:L151)/SUM(Rekenvolumes!E151:L151)</f>
        <v>7.446850784744746</v>
      </c>
      <c r="E310" s="267"/>
      <c r="F310" s="165"/>
      <c r="G310" s="165"/>
      <c r="H310" s="165"/>
      <c r="I310" s="165"/>
      <c r="J310" s="165"/>
      <c r="K310" s="165"/>
      <c r="L310" s="165"/>
    </row>
    <row r="311" spans="2:12" ht="12.75" outlineLevel="1">
      <c r="B311" s="170" t="s">
        <v>205</v>
      </c>
      <c r="C311" s="167"/>
      <c r="D311" s="31">
        <f>SUMPRODUCT(E174:L174,Rekenvolumes!E152:L152)/SUM(Rekenvolumes!E152:L152)</f>
        <v>0.549550697378084</v>
      </c>
      <c r="E311" s="267"/>
      <c r="F311" s="165"/>
      <c r="G311" s="165"/>
      <c r="H311" s="165"/>
      <c r="I311" s="165"/>
      <c r="J311" s="165"/>
      <c r="K311" s="165"/>
      <c r="L311" s="165"/>
    </row>
    <row r="312" spans="2:12" ht="12.75" outlineLevel="1">
      <c r="B312" s="170" t="s">
        <v>203</v>
      </c>
      <c r="C312" s="167"/>
      <c r="D312" s="31">
        <f>SUMPRODUCT(E175:L175,Rekenvolumes!E153:L153)/SUM(Rekenvolumes!E153:L153)</f>
        <v>0.0059810965801768996</v>
      </c>
      <c r="E312" s="267"/>
      <c r="F312" s="165"/>
      <c r="G312" s="165"/>
      <c r="H312" s="165"/>
      <c r="I312" s="165"/>
      <c r="J312" s="165"/>
      <c r="K312" s="165"/>
      <c r="L312" s="165"/>
    </row>
    <row r="313" spans="2:12" ht="12.75" outlineLevel="1">
      <c r="B313" s="170" t="s">
        <v>247</v>
      </c>
      <c r="C313" s="167"/>
      <c r="D313" s="37"/>
      <c r="E313" s="267"/>
      <c r="F313" s="165"/>
      <c r="G313" s="165"/>
      <c r="H313" s="165"/>
      <c r="I313" s="165"/>
      <c r="J313" s="165"/>
      <c r="K313" s="165"/>
      <c r="L313" s="165"/>
    </row>
    <row r="314" spans="2:12" ht="12.75" outlineLevel="1">
      <c r="B314" s="172" t="s">
        <v>208</v>
      </c>
      <c r="C314" s="168"/>
      <c r="D314" s="37"/>
      <c r="E314" s="267"/>
      <c r="F314" s="165"/>
      <c r="G314" s="165"/>
      <c r="H314" s="165"/>
      <c r="I314" s="165"/>
      <c r="J314" s="165"/>
      <c r="K314" s="165"/>
      <c r="L314" s="165"/>
    </row>
    <row r="315" spans="2:12" ht="12.75" outlineLevel="1">
      <c r="B315" s="170" t="s">
        <v>199</v>
      </c>
      <c r="C315" s="167"/>
      <c r="D315" s="31">
        <f>SUMPRODUCT(E178:L178,Rekenvolumes!E156:L156)/SUM(Rekenvolumes!E156:L156)</f>
        <v>2760</v>
      </c>
      <c r="E315" s="267"/>
      <c r="F315" s="165"/>
      <c r="G315" s="165"/>
      <c r="H315" s="165"/>
      <c r="I315" s="165"/>
      <c r="J315" s="165"/>
      <c r="K315" s="165"/>
      <c r="L315" s="165"/>
    </row>
    <row r="316" spans="2:12" ht="12.75" outlineLevel="1">
      <c r="B316" s="170" t="s">
        <v>200</v>
      </c>
      <c r="C316" s="167"/>
      <c r="D316" s="31">
        <f>SUMPRODUCT(E179:L179,Rekenvolumes!E157:L157)/SUM(Rekenvolumes!E157:L157)</f>
        <v>16.960146676579544</v>
      </c>
      <c r="E316" s="267"/>
      <c r="F316" s="165"/>
      <c r="G316" s="165"/>
      <c r="H316" s="165"/>
      <c r="I316" s="165"/>
      <c r="J316" s="165"/>
      <c r="K316" s="165"/>
      <c r="L316" s="165"/>
    </row>
    <row r="317" spans="2:12" ht="12.75" outlineLevel="1">
      <c r="B317" s="170" t="s">
        <v>201</v>
      </c>
      <c r="C317" s="167"/>
      <c r="D317" s="31">
        <f>SUMPRODUCT(E180:L180,Rekenvolumes!E158:L158)/SUM(Rekenvolumes!E158:L158)</f>
        <v>1.5673144814696018</v>
      </c>
      <c r="E317" s="267"/>
      <c r="F317" s="165"/>
      <c r="G317" s="165"/>
      <c r="H317" s="165"/>
      <c r="I317" s="165"/>
      <c r="J317" s="165"/>
      <c r="K317" s="165"/>
      <c r="L317" s="165"/>
    </row>
    <row r="318" spans="2:12" ht="12.75" outlineLevel="1">
      <c r="B318" s="170" t="s">
        <v>203</v>
      </c>
      <c r="C318" s="167"/>
      <c r="D318" s="31">
        <f>SUMPRODUCT(E181:L181,Rekenvolumes!E159:L159)/SUM(Rekenvolumes!E159:L159)</f>
        <v>0.00598329133006713</v>
      </c>
      <c r="E318" s="267"/>
      <c r="F318" s="165"/>
      <c r="G318" s="165"/>
      <c r="H318" s="165"/>
      <c r="I318" s="165"/>
      <c r="J318" s="165"/>
      <c r="K318" s="165"/>
      <c r="L318" s="165"/>
    </row>
    <row r="319" spans="2:12" ht="12.75" outlineLevel="1">
      <c r="B319" s="170" t="s">
        <v>247</v>
      </c>
      <c r="C319" s="167"/>
      <c r="D319" s="37"/>
      <c r="E319" s="267"/>
      <c r="F319" s="165"/>
      <c r="G319" s="165"/>
      <c r="H319" s="165"/>
      <c r="I319" s="165"/>
      <c r="J319" s="165"/>
      <c r="K319" s="165"/>
      <c r="L319" s="165"/>
    </row>
    <row r="320" spans="2:12" ht="12.75" outlineLevel="1">
      <c r="B320" s="172" t="s">
        <v>209</v>
      </c>
      <c r="C320" s="168"/>
      <c r="D320" s="37"/>
      <c r="E320" s="267"/>
      <c r="F320" s="165"/>
      <c r="G320" s="165"/>
      <c r="H320" s="165"/>
      <c r="I320" s="165"/>
      <c r="J320" s="165"/>
      <c r="K320" s="165"/>
      <c r="L320" s="165"/>
    </row>
    <row r="321" spans="2:12" ht="12.75" outlineLevel="1">
      <c r="B321" s="170" t="s">
        <v>199</v>
      </c>
      <c r="C321" s="167"/>
      <c r="D321" s="31">
        <f>SUMPRODUCT(E184:L184,Rekenvolumes!E162:L162)/SUM(Rekenvolumes!E162:L162)</f>
        <v>2760</v>
      </c>
      <c r="E321" s="267"/>
      <c r="F321" s="165"/>
      <c r="G321" s="165"/>
      <c r="H321" s="165"/>
      <c r="I321" s="165"/>
      <c r="J321" s="165"/>
      <c r="K321" s="165"/>
      <c r="L321" s="165"/>
    </row>
    <row r="322" spans="2:12" ht="12.75" outlineLevel="1">
      <c r="B322" s="170" t="s">
        <v>200</v>
      </c>
      <c r="C322" s="167"/>
      <c r="D322" s="31">
        <f>SUMPRODUCT(E185:L185,Rekenvolumes!E163:L163)/SUM(Rekenvolumes!E163:L163)</f>
        <v>7.9176063124792915</v>
      </c>
      <c r="E322" s="267"/>
      <c r="F322" s="165"/>
      <c r="G322" s="165"/>
      <c r="H322" s="165"/>
      <c r="I322" s="165"/>
      <c r="J322" s="165"/>
      <c r="K322" s="165"/>
      <c r="L322" s="165"/>
    </row>
    <row r="323" spans="2:12" ht="12.75" outlineLevel="1">
      <c r="B323" s="170" t="s">
        <v>205</v>
      </c>
      <c r="C323" s="167"/>
      <c r="D323" s="31">
        <f>SUMPRODUCT(E186:L186,Rekenvolumes!E164:L164)/SUM(Rekenvolumes!E164:L164)</f>
        <v>0.5130968862457165</v>
      </c>
      <c r="E323" s="267"/>
      <c r="F323" s="165"/>
      <c r="G323" s="165"/>
      <c r="H323" s="165"/>
      <c r="I323" s="165"/>
      <c r="J323" s="165"/>
      <c r="K323" s="165"/>
      <c r="L323" s="165"/>
    </row>
    <row r="324" spans="2:12" ht="12.75" outlineLevel="1">
      <c r="B324" s="170" t="s">
        <v>203</v>
      </c>
      <c r="C324" s="167"/>
      <c r="D324" s="31">
        <f>SUMPRODUCT(E187:L187,Rekenvolumes!E165:L165)/SUM(Rekenvolumes!E165:L165)</f>
        <v>0.005981278898491308</v>
      </c>
      <c r="E324" s="267"/>
      <c r="F324" s="165"/>
      <c r="G324" s="165"/>
      <c r="H324" s="165"/>
      <c r="I324" s="165"/>
      <c r="J324" s="165"/>
      <c r="K324" s="165"/>
      <c r="L324" s="165"/>
    </row>
    <row r="325" spans="2:12" ht="12.75" outlineLevel="1">
      <c r="B325" s="170" t="s">
        <v>247</v>
      </c>
      <c r="C325" s="167"/>
      <c r="D325" s="37"/>
      <c r="E325" s="267"/>
      <c r="F325" s="165"/>
      <c r="G325" s="165"/>
      <c r="H325" s="165"/>
      <c r="I325" s="165"/>
      <c r="J325" s="165"/>
      <c r="K325" s="165"/>
      <c r="L325" s="165"/>
    </row>
    <row r="326" spans="2:12" ht="12.75" outlineLevel="1">
      <c r="B326" s="172" t="s">
        <v>210</v>
      </c>
      <c r="C326" s="168"/>
      <c r="D326" s="37"/>
      <c r="E326" s="267"/>
      <c r="F326" s="165"/>
      <c r="G326" s="165"/>
      <c r="H326" s="165"/>
      <c r="I326" s="165"/>
      <c r="J326" s="165"/>
      <c r="K326" s="165"/>
      <c r="L326" s="165"/>
    </row>
    <row r="327" spans="2:12" ht="12.75" outlineLevel="1">
      <c r="B327" s="170" t="s">
        <v>199</v>
      </c>
      <c r="C327" s="173"/>
      <c r="D327" s="31">
        <f>SUMPRODUCT(E190:L190,Rekenvolumes!E168:L168)/SUM(Rekenvolumes!E168:L168)</f>
        <v>441</v>
      </c>
      <c r="E327" s="267"/>
      <c r="F327" s="165"/>
      <c r="G327" s="165"/>
      <c r="H327" s="165"/>
      <c r="I327" s="165"/>
      <c r="J327" s="165"/>
      <c r="K327" s="165"/>
      <c r="L327" s="165"/>
    </row>
    <row r="328" spans="2:12" ht="12.75" outlineLevel="1">
      <c r="B328" s="170" t="s">
        <v>211</v>
      </c>
      <c r="C328" s="173"/>
      <c r="D328" s="31">
        <f>SUMPRODUCT(E191:L191,Rekenvolumes!E169:L169)/SUM(Rekenvolumes!E169:L169)</f>
        <v>10.60778694505036</v>
      </c>
      <c r="E328" s="267"/>
      <c r="F328" s="165"/>
      <c r="G328" s="165"/>
      <c r="H328" s="165"/>
      <c r="I328" s="165"/>
      <c r="J328" s="165"/>
      <c r="K328" s="165"/>
      <c r="L328" s="165"/>
    </row>
    <row r="329" spans="2:12" ht="12.75" outlineLevel="1">
      <c r="B329" s="170" t="s">
        <v>201</v>
      </c>
      <c r="C329" s="173"/>
      <c r="D329" s="31">
        <f>SUMPRODUCT(E192:L192,Rekenvolumes!E170:L170)/SUM(Rekenvolumes!E170:L170)</f>
        <v>1.0246342649378233</v>
      </c>
      <c r="E329" s="267"/>
      <c r="F329" s="165"/>
      <c r="G329" s="165"/>
      <c r="H329" s="165"/>
      <c r="I329" s="165"/>
      <c r="J329" s="165"/>
      <c r="K329" s="165"/>
      <c r="L329" s="165"/>
    </row>
    <row r="330" spans="2:12" ht="12.75" outlineLevel="1">
      <c r="B330" s="170" t="s">
        <v>202</v>
      </c>
      <c r="C330" s="173"/>
      <c r="D330" s="31">
        <f>SUMPRODUCT(E193:L193,Rekenvolumes!E171:L171)/SUM(Rekenvolumes!E171:L171)</f>
        <v>0.004038811393348052</v>
      </c>
      <c r="E330" s="267"/>
      <c r="F330" s="165"/>
      <c r="G330" s="165"/>
      <c r="H330" s="165"/>
      <c r="I330" s="165"/>
      <c r="J330" s="165"/>
      <c r="K330" s="165"/>
      <c r="L330" s="165"/>
    </row>
    <row r="331" spans="2:12" ht="12.75" outlineLevel="1">
      <c r="B331" s="170" t="s">
        <v>203</v>
      </c>
      <c r="C331" s="173"/>
      <c r="D331" s="31">
        <f>SUMPRODUCT(E194:L194,Rekenvolumes!E172:L172)/SUM(Rekenvolumes!E172:L172)</f>
        <v>0.005981278898491308</v>
      </c>
      <c r="E331" s="267"/>
      <c r="F331" s="165"/>
      <c r="G331" s="165"/>
      <c r="H331" s="165"/>
      <c r="I331" s="165"/>
      <c r="J331" s="165"/>
      <c r="K331" s="165"/>
      <c r="L331" s="165"/>
    </row>
    <row r="332" spans="2:12" ht="12.75" outlineLevel="1">
      <c r="B332" s="170" t="s">
        <v>247</v>
      </c>
      <c r="C332" s="167"/>
      <c r="D332" s="37"/>
      <c r="E332" s="267"/>
      <c r="F332" s="165"/>
      <c r="G332" s="165"/>
      <c r="H332" s="165"/>
      <c r="I332" s="165"/>
      <c r="J332" s="165"/>
      <c r="K332" s="165"/>
      <c r="L332" s="165"/>
    </row>
    <row r="333" spans="2:12" ht="12.75" outlineLevel="1">
      <c r="B333" s="172" t="s">
        <v>212</v>
      </c>
      <c r="C333" s="168"/>
      <c r="D333" s="37"/>
      <c r="E333" s="267"/>
      <c r="F333" s="165"/>
      <c r="G333" s="165"/>
      <c r="H333" s="165"/>
      <c r="I333" s="165"/>
      <c r="J333" s="165"/>
      <c r="K333" s="165"/>
      <c r="L333" s="165"/>
    </row>
    <row r="334" spans="2:12" ht="12.75" outlineLevel="1">
      <c r="B334" s="170" t="s">
        <v>199</v>
      </c>
      <c r="C334" s="173"/>
      <c r="D334" s="31">
        <f>SUMPRODUCT(E197:L197,Rekenvolumes!E175:L175)/SUM(Rekenvolumes!E175:L175)</f>
        <v>441.00000000000006</v>
      </c>
      <c r="E334" s="267"/>
      <c r="F334" s="165"/>
      <c r="G334" s="165"/>
      <c r="H334" s="165"/>
      <c r="I334" s="165"/>
      <c r="J334" s="165"/>
      <c r="K334" s="165"/>
      <c r="L334" s="165"/>
    </row>
    <row r="335" spans="2:12" ht="12.75" outlineLevel="1">
      <c r="B335" s="170" t="s">
        <v>211</v>
      </c>
      <c r="C335" s="173"/>
      <c r="D335" s="31">
        <f>SUMPRODUCT(E198:L198,Rekenvolumes!E176:L176)/SUM(Rekenvolumes!E176:L176)</f>
        <v>12.390668832423986</v>
      </c>
      <c r="E335" s="267"/>
      <c r="F335" s="165"/>
      <c r="G335" s="165"/>
      <c r="H335" s="165"/>
      <c r="I335" s="165"/>
      <c r="J335" s="165"/>
      <c r="K335" s="165"/>
      <c r="L335" s="165"/>
    </row>
    <row r="336" spans="2:12" ht="12.75" outlineLevel="1">
      <c r="B336" s="170" t="s">
        <v>201</v>
      </c>
      <c r="C336" s="173"/>
      <c r="D336" s="31">
        <f>SUMPRODUCT(E199:L199,Rekenvolumes!E177:L177)/SUM(Rekenvolumes!E177:L177)</f>
        <v>1.2786605816394003</v>
      </c>
      <c r="E336" s="267"/>
      <c r="F336" s="165"/>
      <c r="G336" s="165"/>
      <c r="H336" s="165"/>
      <c r="I336" s="165"/>
      <c r="J336" s="165"/>
      <c r="K336" s="165"/>
      <c r="L336" s="165"/>
    </row>
    <row r="337" spans="2:12" ht="12.75" outlineLevel="1">
      <c r="B337" s="170" t="s">
        <v>202</v>
      </c>
      <c r="C337" s="173"/>
      <c r="D337" s="31">
        <f>SUMPRODUCT(E200:L200,Rekenvolumes!E178:L178)/SUM(Rekenvolumes!E178:L178)</f>
        <v>0.00774374660651135</v>
      </c>
      <c r="E337" s="267"/>
      <c r="F337" s="165"/>
      <c r="G337" s="165"/>
      <c r="H337" s="165"/>
      <c r="I337" s="165"/>
      <c r="J337" s="165"/>
      <c r="K337" s="165"/>
      <c r="L337" s="165"/>
    </row>
    <row r="338" spans="2:12" ht="12.75" outlineLevel="1">
      <c r="B338" s="170" t="s">
        <v>203</v>
      </c>
      <c r="C338" s="173"/>
      <c r="D338" s="31">
        <f>SUMPRODUCT(E201:L201,Rekenvolumes!E179:L179)/SUM(Rekenvolumes!E179:L179)</f>
        <v>0.006026823162698525</v>
      </c>
      <c r="E338" s="267"/>
      <c r="F338" s="165"/>
      <c r="G338" s="165"/>
      <c r="H338" s="165"/>
      <c r="I338" s="165"/>
      <c r="J338" s="165"/>
      <c r="K338" s="165"/>
      <c r="L338" s="165"/>
    </row>
    <row r="339" spans="2:12" ht="12.75" outlineLevel="1">
      <c r="B339" s="170" t="s">
        <v>247</v>
      </c>
      <c r="C339" s="167"/>
      <c r="D339" s="37"/>
      <c r="E339" s="267"/>
      <c r="F339" s="165"/>
      <c r="G339" s="165"/>
      <c r="H339" s="165"/>
      <c r="I339" s="165"/>
      <c r="J339" s="165"/>
      <c r="K339" s="165"/>
      <c r="L339" s="165"/>
    </row>
    <row r="340" spans="2:12" ht="12.75" outlineLevel="1">
      <c r="B340" s="172" t="s">
        <v>213</v>
      </c>
      <c r="C340" s="168"/>
      <c r="D340" s="37"/>
      <c r="E340" s="267"/>
      <c r="F340" s="165"/>
      <c r="G340" s="165"/>
      <c r="H340" s="165"/>
      <c r="I340" s="165"/>
      <c r="J340" s="165"/>
      <c r="K340" s="165"/>
      <c r="L340" s="165"/>
    </row>
    <row r="341" spans="2:12" ht="12.75" outlineLevel="1">
      <c r="B341" s="170" t="s">
        <v>199</v>
      </c>
      <c r="C341" s="173"/>
      <c r="D341" s="31">
        <f>SUMPRODUCT(E204:L204,Rekenvolumes!E182:L182)/SUM(Rekenvolumes!E182:L182)</f>
        <v>441.0000000000001</v>
      </c>
      <c r="E341" s="267"/>
      <c r="F341" s="165"/>
      <c r="G341" s="165"/>
      <c r="H341" s="165"/>
      <c r="I341" s="165"/>
      <c r="J341" s="165"/>
      <c r="K341" s="165"/>
      <c r="L341" s="165"/>
    </row>
    <row r="342" spans="2:12" ht="12.75" outlineLevel="1">
      <c r="B342" s="170" t="s">
        <v>211</v>
      </c>
      <c r="C342" s="173"/>
      <c r="D342" s="31">
        <f>SUMPRODUCT(E205:L205,Rekenvolumes!E183:L183)/SUM(Rekenvolumes!E183:L183)</f>
        <v>19.052569911729602</v>
      </c>
      <c r="E342" s="267"/>
      <c r="F342" s="165"/>
      <c r="G342" s="165"/>
      <c r="H342" s="165"/>
      <c r="I342" s="165"/>
      <c r="J342" s="165"/>
      <c r="K342" s="165"/>
      <c r="L342" s="165"/>
    </row>
    <row r="343" spans="2:12" ht="12.75" outlineLevel="1">
      <c r="B343" s="170" t="s">
        <v>201</v>
      </c>
      <c r="C343" s="173"/>
      <c r="D343" s="31">
        <f>SUMPRODUCT(E206:L206,Rekenvolumes!E184:L184)/SUM(Rekenvolumes!E184:L184)</f>
        <v>1.2868310819380424</v>
      </c>
      <c r="E343" s="267"/>
      <c r="F343" s="165"/>
      <c r="G343" s="165"/>
      <c r="H343" s="165"/>
      <c r="I343" s="165"/>
      <c r="J343" s="165"/>
      <c r="K343" s="165"/>
      <c r="L343" s="165"/>
    </row>
    <row r="344" spans="2:12" ht="12.75" outlineLevel="1">
      <c r="B344" s="170" t="s">
        <v>202</v>
      </c>
      <c r="C344" s="173"/>
      <c r="D344" s="31">
        <f>SUMPRODUCT(E207:L207,Rekenvolumes!E185:L185)/SUM(Rekenvolumes!E185:L185)</f>
        <v>0.007868607880467242</v>
      </c>
      <c r="E344" s="267"/>
      <c r="F344" s="165"/>
      <c r="G344" s="165"/>
      <c r="H344" s="165"/>
      <c r="I344" s="165"/>
      <c r="J344" s="165"/>
      <c r="K344" s="165"/>
      <c r="L344" s="165"/>
    </row>
    <row r="345" spans="2:12" ht="12.75" outlineLevel="1">
      <c r="B345" s="170" t="s">
        <v>203</v>
      </c>
      <c r="C345" s="173"/>
      <c r="D345" s="31">
        <f>SUMPRODUCT(E208:L208,Rekenvolumes!E186:L186)/SUM(Rekenvolumes!E186:L186)</f>
        <v>0.006311284396601512</v>
      </c>
      <c r="E345" s="267"/>
      <c r="F345" s="165"/>
      <c r="G345" s="165"/>
      <c r="H345" s="165"/>
      <c r="I345" s="165"/>
      <c r="J345" s="165"/>
      <c r="K345" s="165"/>
      <c r="L345" s="165"/>
    </row>
    <row r="346" spans="2:12" ht="12.75" outlineLevel="1">
      <c r="B346" s="170" t="s">
        <v>247</v>
      </c>
      <c r="C346" s="167"/>
      <c r="D346" s="37"/>
      <c r="E346" s="267"/>
      <c r="F346" s="165"/>
      <c r="G346" s="165"/>
      <c r="H346" s="165"/>
      <c r="I346" s="165"/>
      <c r="J346" s="165"/>
      <c r="K346" s="165"/>
      <c r="L346" s="165"/>
    </row>
    <row r="347" spans="2:12" ht="12.75" outlineLevel="1">
      <c r="B347" s="172" t="s">
        <v>214</v>
      </c>
      <c r="C347" s="168"/>
      <c r="D347" s="37"/>
      <c r="E347" s="267"/>
      <c r="F347" s="165"/>
      <c r="G347" s="165"/>
      <c r="H347" s="165"/>
      <c r="I347" s="165"/>
      <c r="J347" s="165"/>
      <c r="K347" s="165"/>
      <c r="L347" s="165"/>
    </row>
    <row r="348" spans="2:12" ht="12.75" outlineLevel="1">
      <c r="B348" s="170" t="s">
        <v>199</v>
      </c>
      <c r="C348" s="173"/>
      <c r="D348" s="31">
        <f>SUMPRODUCT(E211:L211,Rekenvolumes!E189:L189)/SUM(Rekenvolumes!E189:L189)</f>
        <v>17.999999999999996</v>
      </c>
      <c r="E348" s="268"/>
      <c r="F348" s="165"/>
      <c r="G348" s="165"/>
      <c r="H348" s="165"/>
      <c r="I348" s="165"/>
      <c r="J348" s="165"/>
      <c r="K348" s="165"/>
      <c r="L348" s="165"/>
    </row>
    <row r="349" spans="2:12" ht="12.75" outlineLevel="1">
      <c r="B349" s="170" t="s">
        <v>211</v>
      </c>
      <c r="C349" s="173"/>
      <c r="D349" s="31">
        <f>SUMPRODUCT(E212:L212,Rekenvolumes!E190:L190)/SUM(Rekenvolumes!E190:L190)</f>
        <v>4.175746535628002</v>
      </c>
      <c r="E349" s="268"/>
      <c r="F349" s="165"/>
      <c r="G349" s="165"/>
      <c r="H349" s="165"/>
      <c r="I349" s="165"/>
      <c r="J349" s="165"/>
      <c r="K349" s="165"/>
      <c r="L349" s="165"/>
    </row>
    <row r="350" spans="2:12" ht="12.75" outlineLevel="1">
      <c r="B350" s="170" t="s">
        <v>221</v>
      </c>
      <c r="C350" s="173"/>
      <c r="D350" s="31">
        <f>SUMPRODUCT(E213:L213,Rekenvolumes!E191:L191)/SUM(Rekenvolumes!E191:L191)</f>
        <v>0.014028988661719057</v>
      </c>
      <c r="E350" s="268"/>
      <c r="F350" s="165"/>
      <c r="G350" s="165"/>
      <c r="H350" s="165"/>
      <c r="I350" s="165"/>
      <c r="J350" s="165"/>
      <c r="K350" s="165"/>
      <c r="L350" s="165"/>
    </row>
    <row r="351" spans="2:12" ht="12.75" outlineLevel="1">
      <c r="B351" s="170" t="s">
        <v>202</v>
      </c>
      <c r="C351" s="173"/>
      <c r="D351" s="31">
        <f>SUMPRODUCT(E214:L214,Rekenvolumes!E192:L192)/SUM(Rekenvolumes!E192:L192)</f>
        <v>0.030078598764848998</v>
      </c>
      <c r="E351" s="268"/>
      <c r="F351" s="165"/>
      <c r="G351" s="165"/>
      <c r="H351" s="165"/>
      <c r="I351" s="165"/>
      <c r="J351" s="165"/>
      <c r="K351" s="165"/>
      <c r="L351" s="165"/>
    </row>
    <row r="352" spans="2:12" ht="12.75" outlineLevel="1">
      <c r="B352" s="170" t="s">
        <v>203</v>
      </c>
      <c r="C352" s="173"/>
      <c r="D352" s="31">
        <f>SUMPRODUCT(E215:L215,Rekenvolumes!E193:L193)/SUM(Rekenvolumes!E193:L193)</f>
        <v>0.0070272779058827475</v>
      </c>
      <c r="E352" s="268"/>
      <c r="F352" s="165"/>
      <c r="G352" s="165"/>
      <c r="H352" s="165"/>
      <c r="I352" s="165"/>
      <c r="J352" s="165"/>
      <c r="K352" s="165"/>
      <c r="L352" s="165"/>
    </row>
    <row r="353" spans="2:12" ht="12.75" outlineLevel="1">
      <c r="B353" s="170" t="s">
        <v>247</v>
      </c>
      <c r="C353" s="167"/>
      <c r="D353" s="37"/>
      <c r="E353" s="267"/>
      <c r="F353" s="165"/>
      <c r="G353" s="165"/>
      <c r="H353" s="165"/>
      <c r="I353" s="165"/>
      <c r="J353" s="165"/>
      <c r="K353" s="165"/>
      <c r="L353" s="165"/>
    </row>
    <row r="354" spans="2:12" ht="12.75" outlineLevel="1">
      <c r="B354" s="287" t="s">
        <v>505</v>
      </c>
      <c r="C354" s="167"/>
      <c r="D354" s="37"/>
      <c r="E354" s="267"/>
      <c r="F354" s="165"/>
      <c r="G354" s="165"/>
      <c r="H354" s="165"/>
      <c r="I354" s="165"/>
      <c r="J354" s="165"/>
      <c r="K354" s="165"/>
      <c r="L354" s="165"/>
    </row>
    <row r="355" spans="2:12" ht="12.75" outlineLevel="1">
      <c r="B355" s="288"/>
      <c r="C355" s="167"/>
      <c r="D355" s="37"/>
      <c r="E355" s="267"/>
      <c r="F355" s="165"/>
      <c r="G355" s="165"/>
      <c r="H355" s="165"/>
      <c r="I355" s="165"/>
      <c r="J355" s="165"/>
      <c r="K355" s="165"/>
      <c r="L355" s="165"/>
    </row>
    <row r="356" spans="2:12" ht="12.75" outlineLevel="1">
      <c r="B356" s="289" t="s">
        <v>222</v>
      </c>
      <c r="C356" s="175"/>
      <c r="D356" s="37"/>
      <c r="E356" s="267"/>
      <c r="F356" s="165"/>
      <c r="G356" s="165"/>
      <c r="H356" s="165"/>
      <c r="I356" s="165"/>
      <c r="J356" s="165"/>
      <c r="K356" s="165"/>
      <c r="L356" s="165"/>
    </row>
    <row r="357" spans="2:12" ht="12.75" outlineLevel="1">
      <c r="B357" s="288" t="s">
        <v>199</v>
      </c>
      <c r="C357" s="176"/>
      <c r="D357" s="31">
        <v>0</v>
      </c>
      <c r="E357" s="267"/>
      <c r="F357" s="165"/>
      <c r="G357" s="165"/>
      <c r="H357" s="165"/>
      <c r="I357" s="165"/>
      <c r="J357" s="165"/>
      <c r="K357" s="165"/>
      <c r="L357" s="165"/>
    </row>
    <row r="358" spans="2:12" ht="12.75" outlineLevel="1">
      <c r="B358" s="288" t="s">
        <v>211</v>
      </c>
      <c r="C358" s="176"/>
      <c r="D358" s="31">
        <v>0</v>
      </c>
      <c r="E358" s="267"/>
      <c r="F358" s="165"/>
      <c r="G358" s="165"/>
      <c r="H358" s="165"/>
      <c r="I358" s="165"/>
      <c r="J358" s="165"/>
      <c r="K358" s="165"/>
      <c r="L358" s="165"/>
    </row>
    <row r="359" spans="2:12" ht="12.75" outlineLevel="1">
      <c r="B359" s="288" t="s">
        <v>221</v>
      </c>
      <c r="C359" s="176"/>
      <c r="D359" s="31">
        <v>0</v>
      </c>
      <c r="E359" s="267"/>
      <c r="F359" s="165"/>
      <c r="G359" s="165"/>
      <c r="H359" s="165"/>
      <c r="I359" s="165"/>
      <c r="J359" s="165"/>
      <c r="K359" s="165"/>
      <c r="L359" s="165"/>
    </row>
    <row r="360" spans="2:12" ht="12.75" outlineLevel="1">
      <c r="B360" s="288" t="s">
        <v>202</v>
      </c>
      <c r="C360" s="176"/>
      <c r="D360" s="31">
        <v>0</v>
      </c>
      <c r="E360" s="267"/>
      <c r="F360" s="165"/>
      <c r="G360" s="165"/>
      <c r="H360" s="165"/>
      <c r="I360" s="165"/>
      <c r="J360" s="165"/>
      <c r="K360" s="165"/>
      <c r="L360" s="165"/>
    </row>
    <row r="361" spans="2:12" ht="12.75" outlineLevel="1">
      <c r="B361" s="288" t="s">
        <v>247</v>
      </c>
      <c r="C361" s="176"/>
      <c r="D361" s="37"/>
      <c r="E361" s="267"/>
      <c r="F361" s="165"/>
      <c r="G361" s="165"/>
      <c r="H361" s="165"/>
      <c r="I361" s="165"/>
      <c r="J361" s="165"/>
      <c r="K361" s="165"/>
      <c r="L361" s="165"/>
    </row>
    <row r="362" spans="2:12" ht="12.75" outlineLevel="1">
      <c r="B362" s="289" t="s">
        <v>223</v>
      </c>
      <c r="C362" s="175"/>
      <c r="D362" s="37"/>
      <c r="E362" s="267"/>
      <c r="F362" s="165"/>
      <c r="G362" s="165"/>
      <c r="H362" s="165"/>
      <c r="I362" s="165"/>
      <c r="J362" s="165"/>
      <c r="K362" s="165"/>
      <c r="L362" s="165"/>
    </row>
    <row r="363" spans="2:12" ht="12.75" outlineLevel="1">
      <c r="B363" s="288" t="s">
        <v>199</v>
      </c>
      <c r="C363" s="176"/>
      <c r="D363" s="31">
        <v>0</v>
      </c>
      <c r="E363" s="267"/>
      <c r="F363" s="165"/>
      <c r="G363" s="165"/>
      <c r="H363" s="165"/>
      <c r="I363" s="165"/>
      <c r="J363" s="165"/>
      <c r="K363" s="165"/>
      <c r="L363" s="165"/>
    </row>
    <row r="364" spans="2:12" ht="12.75" outlineLevel="1">
      <c r="B364" s="288" t="s">
        <v>211</v>
      </c>
      <c r="C364" s="176"/>
      <c r="D364" s="31">
        <v>0</v>
      </c>
      <c r="E364" s="267"/>
      <c r="F364" s="165"/>
      <c r="G364" s="165"/>
      <c r="H364" s="165"/>
      <c r="I364" s="165"/>
      <c r="J364" s="165"/>
      <c r="K364" s="165"/>
      <c r="L364" s="165"/>
    </row>
    <row r="365" spans="2:12" ht="12.75" outlineLevel="1">
      <c r="B365" s="288" t="s">
        <v>224</v>
      </c>
      <c r="C365" s="176"/>
      <c r="D365" s="31">
        <v>0</v>
      </c>
      <c r="E365" s="267"/>
      <c r="F365" s="165"/>
      <c r="G365" s="165"/>
      <c r="H365" s="165"/>
      <c r="I365" s="165"/>
      <c r="J365" s="165"/>
      <c r="K365" s="165"/>
      <c r="L365" s="165"/>
    </row>
    <row r="366" spans="2:12" ht="12.75" outlineLevel="1">
      <c r="B366" s="288" t="s">
        <v>247</v>
      </c>
      <c r="C366" s="176"/>
      <c r="D366" s="37"/>
      <c r="E366" s="267"/>
      <c r="F366" s="165"/>
      <c r="G366" s="165"/>
      <c r="H366" s="165"/>
      <c r="I366" s="165"/>
      <c r="J366" s="165"/>
      <c r="K366" s="165"/>
      <c r="L366" s="165"/>
    </row>
    <row r="367" spans="2:12" ht="12.75" outlineLevel="1">
      <c r="B367" s="289" t="s">
        <v>225</v>
      </c>
      <c r="C367" s="175"/>
      <c r="D367" s="37"/>
      <c r="E367" s="267"/>
      <c r="F367" s="165"/>
      <c r="G367" s="165"/>
      <c r="H367" s="165"/>
      <c r="I367" s="165"/>
      <c r="J367" s="165"/>
      <c r="K367" s="165"/>
      <c r="L367" s="165"/>
    </row>
    <row r="368" spans="2:12" ht="12.75" outlineLevel="1">
      <c r="B368" s="288" t="s">
        <v>199</v>
      </c>
      <c r="C368" s="176"/>
      <c r="D368" s="31">
        <v>0</v>
      </c>
      <c r="E368" s="267"/>
      <c r="F368" s="165"/>
      <c r="G368" s="165"/>
      <c r="H368" s="165"/>
      <c r="I368" s="165"/>
      <c r="J368" s="165"/>
      <c r="K368" s="165"/>
      <c r="L368" s="165"/>
    </row>
    <row r="369" spans="2:12" ht="12.75" outlineLevel="1">
      <c r="B369" s="288" t="s">
        <v>221</v>
      </c>
      <c r="C369" s="176"/>
      <c r="D369" s="31">
        <v>0</v>
      </c>
      <c r="E369" s="267"/>
      <c r="F369" s="165"/>
      <c r="G369" s="165"/>
      <c r="H369" s="165"/>
      <c r="I369" s="165"/>
      <c r="J369" s="165"/>
      <c r="K369" s="165"/>
      <c r="L369" s="165"/>
    </row>
    <row r="370" spans="2:12" ht="12.75" outlineLevel="1">
      <c r="B370" s="288" t="s">
        <v>202</v>
      </c>
      <c r="C370" s="176"/>
      <c r="D370" s="31">
        <v>0</v>
      </c>
      <c r="E370" s="267"/>
      <c r="F370" s="165"/>
      <c r="G370" s="165"/>
      <c r="H370" s="165"/>
      <c r="I370" s="165"/>
      <c r="J370" s="165"/>
      <c r="K370" s="165"/>
      <c r="L370" s="165"/>
    </row>
    <row r="371" spans="2:12" ht="12.75" outlineLevel="1">
      <c r="B371" s="288" t="s">
        <v>247</v>
      </c>
      <c r="C371" s="176"/>
      <c r="D371" s="37"/>
      <c r="E371" s="267"/>
      <c r="F371" s="165"/>
      <c r="G371" s="165"/>
      <c r="H371" s="165"/>
      <c r="I371" s="165"/>
      <c r="J371" s="165"/>
      <c r="K371" s="165"/>
      <c r="L371" s="165"/>
    </row>
    <row r="372" spans="2:12" ht="12.75" outlineLevel="1">
      <c r="B372" s="289" t="s">
        <v>226</v>
      </c>
      <c r="C372" s="175"/>
      <c r="D372" s="37"/>
      <c r="E372" s="267"/>
      <c r="F372" s="165"/>
      <c r="G372" s="165"/>
      <c r="H372" s="165"/>
      <c r="I372" s="165"/>
      <c r="J372" s="165"/>
      <c r="K372" s="165"/>
      <c r="L372" s="165"/>
    </row>
    <row r="373" spans="2:12" ht="12.75" outlineLevel="1">
      <c r="B373" s="288" t="s">
        <v>199</v>
      </c>
      <c r="C373" s="176"/>
      <c r="D373" s="31">
        <v>0</v>
      </c>
      <c r="E373" s="267"/>
      <c r="F373" s="165"/>
      <c r="G373" s="165"/>
      <c r="H373" s="165"/>
      <c r="I373" s="165"/>
      <c r="J373" s="165"/>
      <c r="K373" s="165"/>
      <c r="L373" s="165"/>
    </row>
    <row r="374" spans="2:12" ht="12.75" outlineLevel="1">
      <c r="B374" s="288" t="s">
        <v>224</v>
      </c>
      <c r="C374" s="176"/>
      <c r="D374" s="31">
        <v>0</v>
      </c>
      <c r="E374" s="267"/>
      <c r="F374" s="165"/>
      <c r="G374" s="165"/>
      <c r="H374" s="165"/>
      <c r="I374" s="165"/>
      <c r="J374" s="165"/>
      <c r="K374" s="165"/>
      <c r="L374" s="165"/>
    </row>
    <row r="375" spans="2:12" ht="12.75" outlineLevel="1">
      <c r="B375" s="288" t="s">
        <v>247</v>
      </c>
      <c r="C375" s="176"/>
      <c r="D375" s="37"/>
      <c r="E375" s="267"/>
      <c r="F375" s="165"/>
      <c r="G375" s="165"/>
      <c r="H375" s="165"/>
      <c r="I375" s="165"/>
      <c r="J375" s="165"/>
      <c r="K375" s="165"/>
      <c r="L375" s="165"/>
    </row>
    <row r="376" spans="2:12" ht="12.75" outlineLevel="1">
      <c r="B376" s="289" t="s">
        <v>232</v>
      </c>
      <c r="C376" s="175"/>
      <c r="D376" s="37"/>
      <c r="E376" s="267"/>
      <c r="F376" s="165"/>
      <c r="G376" s="165"/>
      <c r="H376" s="165"/>
      <c r="I376" s="165"/>
      <c r="J376" s="165"/>
      <c r="K376" s="165"/>
      <c r="L376" s="165"/>
    </row>
    <row r="377" spans="2:12" ht="12.75" outlineLevel="1">
      <c r="B377" s="288" t="s">
        <v>199</v>
      </c>
      <c r="C377" s="176"/>
      <c r="D377" s="31">
        <v>0</v>
      </c>
      <c r="E377" s="267"/>
      <c r="F377" s="165"/>
      <c r="G377" s="165"/>
      <c r="H377" s="165"/>
      <c r="I377" s="165"/>
      <c r="J377" s="165"/>
      <c r="K377" s="165"/>
      <c r="L377" s="165"/>
    </row>
    <row r="378" spans="2:12" ht="12.75" outlineLevel="1">
      <c r="B378" s="288" t="s">
        <v>221</v>
      </c>
      <c r="C378" s="176"/>
      <c r="D378" s="31">
        <v>0</v>
      </c>
      <c r="E378" s="267"/>
      <c r="F378" s="165"/>
      <c r="G378" s="165"/>
      <c r="H378" s="165"/>
      <c r="I378" s="165"/>
      <c r="J378" s="165"/>
      <c r="K378" s="165"/>
      <c r="L378" s="165"/>
    </row>
    <row r="379" spans="2:12" ht="12.75" outlineLevel="1">
      <c r="B379" s="288" t="s">
        <v>202</v>
      </c>
      <c r="C379" s="176"/>
      <c r="D379" s="31">
        <v>0</v>
      </c>
      <c r="E379" s="267"/>
      <c r="F379" s="165"/>
      <c r="G379" s="165"/>
      <c r="H379" s="165"/>
      <c r="I379" s="165"/>
      <c r="J379" s="165"/>
      <c r="K379" s="165"/>
      <c r="L379" s="165"/>
    </row>
    <row r="380" spans="2:12" ht="12.75" outlineLevel="1">
      <c r="B380" s="170"/>
      <c r="C380" s="167"/>
      <c r="D380" s="37"/>
      <c r="E380" s="267"/>
      <c r="F380" s="164"/>
      <c r="G380" s="165"/>
      <c r="H380" s="165"/>
      <c r="I380" s="165"/>
      <c r="J380" s="165"/>
      <c r="K380" s="165"/>
      <c r="L380" s="165"/>
    </row>
    <row r="381" spans="2:12" ht="12.75" outlineLevel="1">
      <c r="B381" s="171" t="s">
        <v>506</v>
      </c>
      <c r="C381" s="167"/>
      <c r="D381" s="37"/>
      <c r="E381" s="267"/>
      <c r="F381" s="164"/>
      <c r="G381" s="165"/>
      <c r="H381" s="165"/>
      <c r="I381" s="165"/>
      <c r="J381" s="165"/>
      <c r="K381" s="165"/>
      <c r="L381" s="165"/>
    </row>
    <row r="382" spans="2:12" ht="12.75" outlineLevel="1">
      <c r="B382" s="170"/>
      <c r="C382" s="167"/>
      <c r="D382" s="37"/>
      <c r="E382" s="267"/>
      <c r="F382" s="164"/>
      <c r="G382" s="165"/>
      <c r="H382" s="165"/>
      <c r="I382" s="165"/>
      <c r="J382" s="165"/>
      <c r="K382" s="165"/>
      <c r="L382" s="165"/>
    </row>
    <row r="383" spans="2:12" ht="12.75" outlineLevel="1">
      <c r="B383" s="172" t="s">
        <v>235</v>
      </c>
      <c r="C383" s="168"/>
      <c r="D383" s="37"/>
      <c r="E383" s="267"/>
      <c r="F383" s="164"/>
      <c r="G383" s="165"/>
      <c r="H383" s="165"/>
      <c r="I383" s="165"/>
      <c r="J383" s="165"/>
      <c r="K383" s="165"/>
      <c r="L383" s="165"/>
    </row>
    <row r="384" spans="2:12" ht="12.75" outlineLevel="1">
      <c r="B384" s="170" t="s">
        <v>236</v>
      </c>
      <c r="C384" s="167"/>
      <c r="D384" s="31">
        <f>SUMPRODUCT(E247:L247,Rekenvolumes!E225:L225)/SUM(Rekenvolumes!E225:L225)</f>
        <v>0.54</v>
      </c>
      <c r="E384" s="267"/>
      <c r="F384" s="164"/>
      <c r="G384" s="165"/>
      <c r="H384" s="165"/>
      <c r="I384" s="165"/>
      <c r="J384" s="165"/>
      <c r="K384" s="165"/>
      <c r="L384" s="165"/>
    </row>
    <row r="385" spans="2:12" ht="12.75" outlineLevel="1">
      <c r="B385" s="170" t="s">
        <v>237</v>
      </c>
      <c r="C385" s="167"/>
      <c r="D385" s="31">
        <f>SUMPRODUCT(E248:L248,Rekenvolumes!E226:L226)/SUM(Rekenvolumes!E226:L226)</f>
        <v>18</v>
      </c>
      <c r="E385" s="267"/>
      <c r="F385" s="164"/>
      <c r="G385" s="165"/>
      <c r="H385" s="165"/>
      <c r="I385" s="165"/>
      <c r="J385" s="165"/>
      <c r="K385" s="165"/>
      <c r="L385" s="165"/>
    </row>
    <row r="386" spans="2:12" ht="12.75" outlineLevel="1">
      <c r="B386" s="170"/>
      <c r="C386" s="167"/>
      <c r="D386" s="37"/>
      <c r="E386" s="267"/>
      <c r="F386" s="165"/>
      <c r="G386" s="165"/>
      <c r="H386" s="165"/>
      <c r="I386" s="165"/>
      <c r="J386" s="165"/>
      <c r="K386" s="165"/>
      <c r="L386" s="165"/>
    </row>
    <row r="387" spans="2:12" ht="12.75" outlineLevel="1">
      <c r="B387" s="172" t="s">
        <v>238</v>
      </c>
      <c r="C387" s="168"/>
      <c r="D387" s="37"/>
      <c r="E387" s="267"/>
      <c r="F387" s="165"/>
      <c r="G387" s="165"/>
      <c r="H387" s="165"/>
      <c r="I387" s="165"/>
      <c r="J387" s="165"/>
      <c r="K387" s="165"/>
      <c r="L387" s="165"/>
    </row>
    <row r="388" spans="2:12" ht="12.75" outlineLevel="1">
      <c r="B388" s="170" t="s">
        <v>239</v>
      </c>
      <c r="C388" s="167"/>
      <c r="D388" s="31">
        <f>SUMPRODUCT(E251:L251,Rekenvolumes!E229:L229)/SUM(Rekenvolumes!E229:L229)</f>
        <v>1.3409419662927549</v>
      </c>
      <c r="E388" s="267"/>
      <c r="F388" s="165"/>
      <c r="G388" s="165"/>
      <c r="H388" s="165"/>
      <c r="I388" s="165"/>
      <c r="J388" s="165"/>
      <c r="K388" s="165"/>
      <c r="L388" s="165"/>
    </row>
    <row r="389" spans="2:12" ht="12.75" outlineLevel="1">
      <c r="B389" s="170" t="s">
        <v>240</v>
      </c>
      <c r="C389" s="167"/>
      <c r="D389" s="31">
        <f>SUMPRODUCT(E252:L252,Rekenvolumes!E230:L230)/SUM(Rekenvolumes!E230:L230)</f>
        <v>107.07636707348065</v>
      </c>
      <c r="E389" s="267"/>
      <c r="F389" s="266"/>
      <c r="G389" s="165"/>
      <c r="H389" s="165"/>
      <c r="I389" s="165"/>
      <c r="J389" s="165"/>
      <c r="K389" s="165"/>
      <c r="L389" s="165"/>
    </row>
    <row r="390" spans="2:12" ht="12.75" outlineLevel="1">
      <c r="B390" s="170" t="s">
        <v>241</v>
      </c>
      <c r="C390" s="167"/>
      <c r="D390" s="31">
        <f>SUMPRODUCT(E253:L253,Rekenvolumes!E231:L231)/SUM(Rekenvolumes!E231:L231)</f>
        <v>535.454679190123</v>
      </c>
      <c r="E390" s="267"/>
      <c r="F390" s="266"/>
      <c r="G390" s="165"/>
      <c r="H390" s="165"/>
      <c r="I390" s="165"/>
      <c r="J390" s="165"/>
      <c r="K390" s="165"/>
      <c r="L390" s="165"/>
    </row>
    <row r="391" spans="2:12" ht="12.75" outlineLevel="1">
      <c r="B391" s="170" t="s">
        <v>242</v>
      </c>
      <c r="C391" s="167"/>
      <c r="D391" s="31">
        <f>SUMPRODUCT(E254:L254,Rekenvolumes!E232:L232)/SUM(Rekenvolumes!E232:L232)</f>
        <v>805.2823074493275</v>
      </c>
      <c r="E391" s="267"/>
      <c r="F391" s="266"/>
      <c r="G391" s="165"/>
      <c r="H391" s="165"/>
      <c r="I391" s="165"/>
      <c r="J391" s="165"/>
      <c r="K391" s="165"/>
      <c r="L391" s="165"/>
    </row>
    <row r="392" spans="2:12" ht="12.75" outlineLevel="1">
      <c r="B392" s="170" t="s">
        <v>243</v>
      </c>
      <c r="C392" s="167"/>
      <c r="D392" s="31">
        <f>SUMPRODUCT(E255:L255,Rekenvolumes!E233:L233)/SUM(Rekenvolumes!E233:L233)</f>
        <v>1070.6429227615938</v>
      </c>
      <c r="E392" s="267"/>
      <c r="F392" s="266"/>
      <c r="G392" s="165"/>
      <c r="H392" s="165"/>
      <c r="I392" s="165"/>
      <c r="J392" s="165"/>
      <c r="K392" s="165"/>
      <c r="L392" s="165"/>
    </row>
    <row r="393" spans="2:12" ht="12.75" outlineLevel="1">
      <c r="B393" s="170" t="s">
        <v>244</v>
      </c>
      <c r="C393" s="167"/>
      <c r="D393" s="31">
        <f>SUMPRODUCT(E256:L256,Rekenvolumes!E234:L234)/SUM(Rekenvolumes!E234:L234)</f>
        <v>1342.6276647721982</v>
      </c>
      <c r="E393" s="267"/>
      <c r="F393" s="266"/>
      <c r="G393" s="165"/>
      <c r="H393" s="165"/>
      <c r="I393" s="165"/>
      <c r="J393" s="165"/>
      <c r="K393" s="165"/>
      <c r="L393" s="165"/>
    </row>
    <row r="394" spans="2:12" ht="12.75" outlineLevel="1">
      <c r="B394" s="170" t="s">
        <v>247</v>
      </c>
      <c r="C394" s="167"/>
      <c r="D394" s="63"/>
      <c r="E394" s="267"/>
      <c r="F394" s="266"/>
      <c r="G394" s="165"/>
      <c r="H394" s="165"/>
      <c r="I394" s="165"/>
      <c r="J394" s="165"/>
      <c r="K394" s="165"/>
      <c r="L394" s="165"/>
    </row>
    <row r="395" spans="2:12" ht="12.75" outlineLevel="1">
      <c r="B395" s="171" t="s">
        <v>227</v>
      </c>
      <c r="C395" s="168"/>
      <c r="D395" s="63"/>
      <c r="E395" s="267"/>
      <c r="F395" s="266"/>
      <c r="G395" s="165"/>
      <c r="H395" s="165"/>
      <c r="I395" s="165"/>
      <c r="J395" s="165"/>
      <c r="K395" s="165"/>
      <c r="L395" s="165"/>
    </row>
    <row r="396" spans="2:12" ht="12.75" outlineLevel="1">
      <c r="B396" s="170" t="s">
        <v>247</v>
      </c>
      <c r="C396" s="167"/>
      <c r="D396" s="63"/>
      <c r="E396" s="267"/>
      <c r="F396" s="266"/>
      <c r="G396" s="165"/>
      <c r="H396" s="165"/>
      <c r="I396" s="165"/>
      <c r="J396" s="165"/>
      <c r="K396" s="165"/>
      <c r="L396" s="165"/>
    </row>
    <row r="397" spans="2:12" ht="12.75" outlineLevel="1">
      <c r="B397" s="169" t="s">
        <v>348</v>
      </c>
      <c r="C397" s="169"/>
      <c r="D397" s="31">
        <f>SUMPRODUCT(Wegingsfactoren!E260:L260,Rekenvolumes!E238:L238)/SUM(Rekenvolumes!E238:L238)</f>
        <v>5.308608010569545</v>
      </c>
      <c r="E397" s="267"/>
      <c r="F397" s="266"/>
      <c r="G397" s="165"/>
      <c r="H397" s="165"/>
      <c r="I397" s="165"/>
      <c r="J397" s="165"/>
      <c r="K397" s="165"/>
      <c r="L397" s="165"/>
    </row>
    <row r="398" spans="2:12" ht="12.75" outlineLevel="1">
      <c r="B398" s="169" t="s">
        <v>349</v>
      </c>
      <c r="C398" s="169"/>
      <c r="D398" s="31">
        <f>SUMPRODUCT(Wegingsfactoren!E261:L261,Rekenvolumes!E239:L239)/SUM(Rekenvolumes!E239:L239)</f>
        <v>19.49885705847858</v>
      </c>
      <c r="E398" s="267"/>
      <c r="F398" s="266"/>
      <c r="G398" s="165"/>
      <c r="H398" s="165"/>
      <c r="I398" s="165"/>
      <c r="J398" s="165"/>
      <c r="K398" s="165"/>
      <c r="L398" s="165"/>
    </row>
    <row r="399" spans="2:12" ht="12.75" outlineLevel="1">
      <c r="B399" s="169" t="s">
        <v>350</v>
      </c>
      <c r="C399" s="169"/>
      <c r="D399" s="31">
        <f>SUMPRODUCT(Wegingsfactoren!E262:L262,Rekenvolumes!E240:L240)/SUM(Rekenvolumes!E240:L240)</f>
        <v>29.281927602545277</v>
      </c>
      <c r="E399" s="267"/>
      <c r="F399" s="165"/>
      <c r="G399" s="165"/>
      <c r="H399" s="165"/>
      <c r="I399" s="165"/>
      <c r="J399" s="165"/>
      <c r="K399" s="165"/>
      <c r="L399" s="165"/>
    </row>
    <row r="400" spans="2:12" ht="12.75" outlineLevel="1">
      <c r="B400" s="169" t="s">
        <v>341</v>
      </c>
      <c r="C400" s="169"/>
      <c r="D400" s="31">
        <f>SUMPRODUCT(Wegingsfactoren!E263:L263,Rekenvolumes!E241:L241)/SUM(Rekenvolumes!E241:L241)</f>
        <v>176.1233348715577</v>
      </c>
      <c r="E400" s="267"/>
      <c r="F400" s="165"/>
      <c r="G400" s="165"/>
      <c r="H400" s="165"/>
      <c r="I400" s="165"/>
      <c r="J400" s="165"/>
      <c r="K400" s="165"/>
      <c r="L400" s="165"/>
    </row>
    <row r="401" spans="2:12" ht="12.75" outlineLevel="1">
      <c r="B401" s="169" t="s">
        <v>343</v>
      </c>
      <c r="C401" s="169"/>
      <c r="D401" s="31">
        <f>SUMPRODUCT(Wegingsfactoren!E264:L264,Rekenvolumes!E242:L242)/SUM(Rekenvolumes!E242:L242)</f>
        <v>642.1860438477631</v>
      </c>
      <c r="E401" s="267"/>
      <c r="F401" s="165"/>
      <c r="G401" s="165"/>
      <c r="H401" s="165"/>
      <c r="I401" s="165"/>
      <c r="J401" s="165"/>
      <c r="K401" s="165"/>
      <c r="L401" s="165"/>
    </row>
    <row r="402" spans="2:12" ht="12.75" outlineLevel="1">
      <c r="B402" s="169" t="s">
        <v>345</v>
      </c>
      <c r="C402" s="169"/>
      <c r="D402" s="31">
        <f>SUMPRODUCT(Wegingsfactoren!E265:L265,Rekenvolumes!E243:L243)/SUM(Rekenvolumes!E243:L243)</f>
        <v>3133.8905502044017</v>
      </c>
      <c r="E402" s="267"/>
      <c r="F402" s="165"/>
      <c r="G402" s="165"/>
      <c r="H402" s="165"/>
      <c r="I402" s="165"/>
      <c r="J402" s="165"/>
      <c r="K402" s="165"/>
      <c r="L402" s="165"/>
    </row>
    <row r="403" spans="2:12" ht="12.75" outlineLevel="1">
      <c r="B403" s="170"/>
      <c r="C403" s="170"/>
      <c r="D403" s="63"/>
      <c r="E403" s="267"/>
      <c r="F403" s="165"/>
      <c r="G403" s="165"/>
      <c r="H403" s="165"/>
      <c r="I403" s="165"/>
      <c r="J403" s="165"/>
      <c r="K403" s="165"/>
      <c r="L403" s="165"/>
    </row>
    <row r="404" spans="2:12" ht="12.75" outlineLevel="1">
      <c r="B404" s="170" t="s">
        <v>230</v>
      </c>
      <c r="C404" s="170"/>
      <c r="D404" s="31">
        <f>SUMPRODUCT(Wegingsfactoren!E267:L267,Rekenvolumes!E245:L245)/SUM(Rekenvolumes!E245:L245)</f>
        <v>1.9408636288290284</v>
      </c>
      <c r="E404" s="267"/>
      <c r="F404" s="165"/>
      <c r="G404" s="165"/>
      <c r="H404" s="165"/>
      <c r="I404" s="165"/>
      <c r="J404" s="165"/>
      <c r="K404" s="165"/>
      <c r="L404" s="165"/>
    </row>
    <row r="405" spans="2:12" ht="12.75" outlineLevel="1">
      <c r="B405" s="170" t="s">
        <v>247</v>
      </c>
      <c r="C405" s="167"/>
      <c r="D405" s="63"/>
      <c r="E405" s="267"/>
      <c r="F405" s="165"/>
      <c r="G405" s="165"/>
      <c r="H405" s="165"/>
      <c r="I405" s="165"/>
      <c r="J405" s="165"/>
      <c r="K405" s="165"/>
      <c r="L405" s="165"/>
    </row>
    <row r="406" spans="2:12" ht="12.75" outlineLevel="1">
      <c r="B406" s="171" t="s">
        <v>229</v>
      </c>
      <c r="C406" s="168"/>
      <c r="D406" s="63"/>
      <c r="E406" s="267"/>
      <c r="F406" s="165"/>
      <c r="G406" s="165"/>
      <c r="H406" s="165"/>
      <c r="I406" s="165"/>
      <c r="J406" s="165"/>
      <c r="K406" s="165"/>
      <c r="L406" s="165"/>
    </row>
    <row r="407" spans="2:12" ht="12.75" outlineLevel="1">
      <c r="B407" s="171"/>
      <c r="C407" s="168"/>
      <c r="D407" s="63"/>
      <c r="E407" s="267"/>
      <c r="F407" s="165"/>
      <c r="G407" s="165"/>
      <c r="H407" s="165"/>
      <c r="I407" s="165"/>
      <c r="J407" s="165"/>
      <c r="K407" s="165"/>
      <c r="L407" s="165"/>
    </row>
    <row r="408" spans="2:12" ht="12.75" outlineLevel="1">
      <c r="B408" s="172" t="s">
        <v>490</v>
      </c>
      <c r="C408" s="172"/>
      <c r="D408" s="63"/>
      <c r="E408" s="267"/>
      <c r="F408" s="165"/>
      <c r="G408" s="165"/>
      <c r="H408" s="165"/>
      <c r="I408" s="165"/>
      <c r="J408" s="165"/>
      <c r="K408" s="165"/>
      <c r="L408" s="165"/>
    </row>
    <row r="409" spans="2:12" ht="12.75" outlineLevel="1">
      <c r="B409" s="169" t="s">
        <v>348</v>
      </c>
      <c r="C409" s="169"/>
      <c r="D409" s="31">
        <f>SUMPRODUCT(Wegingsfactoren!E272:L272,Rekenvolumes!E250:L250)/SUM(Rekenvolumes!E250:L250)</f>
        <v>311.98749713954663</v>
      </c>
      <c r="E409" s="267"/>
      <c r="F409" s="165"/>
      <c r="G409" s="165"/>
      <c r="H409" s="165"/>
      <c r="I409" s="165"/>
      <c r="J409" s="165"/>
      <c r="K409" s="165"/>
      <c r="L409" s="165"/>
    </row>
    <row r="410" spans="2:12" ht="12.75" outlineLevel="1">
      <c r="B410" s="169" t="s">
        <v>349</v>
      </c>
      <c r="C410" s="169"/>
      <c r="D410" s="31">
        <f>SUMPRODUCT(Wegingsfactoren!E273:L273,Rekenvolumes!E251:L251)/SUM(Rekenvolumes!E251:L251)</f>
        <v>533.2384029827928</v>
      </c>
      <c r="E410" s="267"/>
      <c r="F410" s="165"/>
      <c r="G410" s="165"/>
      <c r="H410" s="165"/>
      <c r="I410" s="165"/>
      <c r="J410" s="165"/>
      <c r="K410" s="165"/>
      <c r="L410" s="165"/>
    </row>
    <row r="411" spans="2:12" ht="12.75" outlineLevel="1">
      <c r="B411" s="169" t="s">
        <v>350</v>
      </c>
      <c r="C411" s="169"/>
      <c r="D411" s="31">
        <f>SUMPRODUCT(Wegingsfactoren!E274:L274,Rekenvolumes!E252:L252)/SUM(Rekenvolumes!E252:L252)</f>
        <v>848.5965110919993</v>
      </c>
      <c r="E411" s="267"/>
      <c r="F411" s="165"/>
      <c r="G411" s="165"/>
      <c r="H411" s="165"/>
      <c r="I411" s="165"/>
      <c r="J411" s="165"/>
      <c r="K411" s="165"/>
      <c r="L411" s="165"/>
    </row>
    <row r="412" spans="2:12" ht="12.75" outlineLevel="1">
      <c r="B412" s="169" t="s">
        <v>341</v>
      </c>
      <c r="C412" s="169"/>
      <c r="D412" s="31">
        <f>SUMPRODUCT(Wegingsfactoren!E275:L275,Rekenvolumes!E253:L253)/SUM(Rekenvolumes!E253:L253)</f>
        <v>6147.485199401459</v>
      </c>
      <c r="E412" s="267"/>
      <c r="F412" s="165"/>
      <c r="G412" s="165"/>
      <c r="H412" s="165"/>
      <c r="I412" s="165"/>
      <c r="J412" s="165"/>
      <c r="K412" s="165"/>
      <c r="L412" s="165"/>
    </row>
    <row r="413" spans="2:12" ht="12.75" outlineLevel="1">
      <c r="B413" s="169" t="s">
        <v>216</v>
      </c>
      <c r="C413" s="169"/>
      <c r="D413" s="37"/>
      <c r="E413" s="269">
        <f>E276</f>
        <v>0</v>
      </c>
      <c r="F413" s="269">
        <f aca="true" t="shared" si="33" ref="F413:L413">F276</f>
        <v>75115.32090909091</v>
      </c>
      <c r="G413" s="269">
        <f t="shared" si="33"/>
        <v>22321.52</v>
      </c>
      <c r="H413" s="269">
        <f t="shared" si="33"/>
        <v>34364.06221852846</v>
      </c>
      <c r="I413" s="269">
        <f t="shared" si="33"/>
        <v>89048.88776470587</v>
      </c>
      <c r="J413" s="269">
        <f t="shared" si="33"/>
        <v>0</v>
      </c>
      <c r="K413" s="269">
        <f t="shared" si="33"/>
        <v>76237.54539410151</v>
      </c>
      <c r="L413" s="269">
        <f t="shared" si="33"/>
        <v>50208.40185185185</v>
      </c>
    </row>
    <row r="414" spans="2:12" ht="12.75" outlineLevel="1">
      <c r="B414" s="44"/>
      <c r="C414" s="44"/>
      <c r="D414" s="63"/>
      <c r="E414" s="267"/>
      <c r="F414" s="267"/>
      <c r="G414" s="267"/>
      <c r="H414" s="267"/>
      <c r="I414" s="267"/>
      <c r="J414" s="267"/>
      <c r="K414" s="267"/>
      <c r="L414" s="267"/>
    </row>
    <row r="415" spans="2:12" ht="12.75" outlineLevel="1">
      <c r="B415" s="172" t="s">
        <v>495</v>
      </c>
      <c r="C415" s="172"/>
      <c r="D415" s="63"/>
      <c r="E415" s="267"/>
      <c r="F415" s="267"/>
      <c r="G415" s="267"/>
      <c r="H415" s="267"/>
      <c r="I415" s="267"/>
      <c r="J415" s="267"/>
      <c r="K415" s="267"/>
      <c r="L415" s="267"/>
    </row>
    <row r="416" spans="2:12" ht="12.75" outlineLevel="1">
      <c r="B416" s="169" t="s">
        <v>348</v>
      </c>
      <c r="C416" s="169"/>
      <c r="D416" s="31">
        <f>SUMPRODUCT(Wegingsfactoren!E279:L279,Rekenvolumes!E257:L257)/SUM(Rekenvolumes!E257:L257)</f>
        <v>14.792434788594646</v>
      </c>
      <c r="E416" s="267"/>
      <c r="F416" s="267"/>
      <c r="G416" s="267"/>
      <c r="H416" s="267"/>
      <c r="I416" s="267"/>
      <c r="J416" s="267"/>
      <c r="K416" s="267"/>
      <c r="L416" s="267"/>
    </row>
    <row r="417" spans="2:12" ht="12.75" outlineLevel="1">
      <c r="B417" s="169" t="s">
        <v>349</v>
      </c>
      <c r="C417" s="169"/>
      <c r="D417" s="31">
        <f>SUMPRODUCT(Wegingsfactoren!E280:L280,Rekenvolumes!E258:L258)/SUM(Rekenvolumes!E258:L258)</f>
        <v>18.520700946221005</v>
      </c>
      <c r="E417" s="267"/>
      <c r="F417" s="267"/>
      <c r="G417" s="267"/>
      <c r="H417" s="267"/>
      <c r="I417" s="267"/>
      <c r="J417" s="267"/>
      <c r="K417" s="267"/>
      <c r="L417" s="267"/>
    </row>
    <row r="418" spans="2:12" ht="12.75" outlineLevel="1">
      <c r="B418" s="169" t="s">
        <v>350</v>
      </c>
      <c r="C418" s="169"/>
      <c r="D418" s="31">
        <f>SUMPRODUCT(Wegingsfactoren!E281:L281,Rekenvolumes!E259:L259)/SUM(Rekenvolumes!E259:L259)</f>
        <v>26.223064732947883</v>
      </c>
      <c r="E418" s="267"/>
      <c r="F418" s="267"/>
      <c r="G418" s="267"/>
      <c r="H418" s="267"/>
      <c r="I418" s="267"/>
      <c r="J418" s="267"/>
      <c r="K418" s="267"/>
      <c r="L418" s="267"/>
    </row>
    <row r="419" spans="2:12" ht="12.75" outlineLevel="1">
      <c r="B419" s="169" t="s">
        <v>341</v>
      </c>
      <c r="C419" s="169"/>
      <c r="D419" s="31">
        <f>SUMPRODUCT(Wegingsfactoren!E282:L282,Rekenvolumes!E260:L260)/SUM(Rekenvolumes!E260:L260)</f>
        <v>43.95034992946926</v>
      </c>
      <c r="E419" s="267"/>
      <c r="F419" s="267"/>
      <c r="G419" s="267"/>
      <c r="H419" s="267"/>
      <c r="I419" s="267"/>
      <c r="J419" s="267"/>
      <c r="K419" s="267"/>
      <c r="L419" s="267"/>
    </row>
    <row r="420" spans="2:12" ht="12.75" outlineLevel="1">
      <c r="B420" s="169" t="s">
        <v>216</v>
      </c>
      <c r="C420" s="169"/>
      <c r="D420" s="37"/>
      <c r="E420" s="269">
        <f>E283</f>
        <v>0</v>
      </c>
      <c r="F420" s="269">
        <f aca="true" t="shared" si="34" ref="F420:L420">F283</f>
        <v>113.88165415791055</v>
      </c>
      <c r="G420" s="269">
        <f t="shared" si="34"/>
        <v>0</v>
      </c>
      <c r="H420" s="269">
        <f t="shared" si="34"/>
        <v>102.20407298093771</v>
      </c>
      <c r="I420" s="269">
        <f t="shared" si="34"/>
        <v>130.4542727184614</v>
      </c>
      <c r="J420" s="269">
        <f t="shared" si="34"/>
        <v>0</v>
      </c>
      <c r="K420" s="269">
        <f t="shared" si="34"/>
        <v>138.61673789847111</v>
      </c>
      <c r="L420" s="269">
        <f t="shared" si="34"/>
        <v>149.74433047192775</v>
      </c>
    </row>
    <row r="421" spans="2:12" ht="12.75" outlineLevel="1">
      <c r="B421" s="170"/>
      <c r="C421" s="167"/>
      <c r="D421" s="63"/>
      <c r="E421" s="267"/>
      <c r="F421" s="165"/>
      <c r="G421" s="165"/>
      <c r="H421" s="165"/>
      <c r="I421" s="165"/>
      <c r="J421" s="165"/>
      <c r="K421" s="165"/>
      <c r="L421" s="165"/>
    </row>
    <row r="422" spans="2:12" ht="12.75" outlineLevel="1">
      <c r="B422" s="171" t="s">
        <v>485</v>
      </c>
      <c r="C422" s="167"/>
      <c r="D422" s="63"/>
      <c r="E422" s="267"/>
      <c r="F422" s="165"/>
      <c r="G422" s="165"/>
      <c r="H422" s="165"/>
      <c r="I422" s="165"/>
      <c r="J422" s="165"/>
      <c r="K422" s="165"/>
      <c r="L422" s="165"/>
    </row>
    <row r="423" spans="2:12" ht="12.75" outlineLevel="1">
      <c r="B423" s="170" t="s">
        <v>247</v>
      </c>
      <c r="C423" s="167"/>
      <c r="D423" s="164"/>
      <c r="E423" s="267"/>
      <c r="F423" s="164"/>
      <c r="G423" s="164"/>
      <c r="H423" s="164"/>
      <c r="I423" s="164"/>
      <c r="J423" s="164"/>
      <c r="K423" s="165"/>
      <c r="L423" s="165"/>
    </row>
    <row r="424" spans="2:12" ht="12.75" outlineLevel="1">
      <c r="B424" s="170" t="s">
        <v>206</v>
      </c>
      <c r="C424" s="167"/>
      <c r="D424" s="187">
        <f>D523</f>
        <v>8.008317384348953</v>
      </c>
      <c r="E424" s="267"/>
      <c r="F424" s="227"/>
      <c r="G424" s="223"/>
      <c r="H424" s="164"/>
      <c r="I424" s="183"/>
      <c r="J424" s="164"/>
      <c r="K424" s="165"/>
      <c r="L424" s="165"/>
    </row>
    <row r="425" spans="2:12" ht="12.75" outlineLevel="1">
      <c r="B425" s="170" t="s">
        <v>208</v>
      </c>
      <c r="C425" s="167"/>
      <c r="D425" s="187">
        <f>D524</f>
        <v>15.174089531908763</v>
      </c>
      <c r="E425" s="267"/>
      <c r="F425" s="227"/>
      <c r="G425" s="184"/>
      <c r="H425" s="164"/>
      <c r="I425" s="184"/>
      <c r="J425" s="164"/>
      <c r="K425" s="165"/>
      <c r="L425" s="165"/>
    </row>
    <row r="426" spans="2:12" ht="12.75" outlineLevel="1">
      <c r="B426" s="170" t="s">
        <v>210</v>
      </c>
      <c r="C426" s="167"/>
      <c r="D426" s="187">
        <f>D525</f>
        <v>11.817637354587518</v>
      </c>
      <c r="E426" s="267"/>
      <c r="F426" s="181"/>
      <c r="G426" s="184"/>
      <c r="H426" s="164"/>
      <c r="I426" s="184"/>
      <c r="J426" s="164"/>
      <c r="K426" s="165"/>
      <c r="L426" s="165"/>
    </row>
    <row r="427" spans="2:12" ht="12.75" outlineLevel="1">
      <c r="B427" s="170" t="s">
        <v>212</v>
      </c>
      <c r="C427" s="167"/>
      <c r="D427" s="187">
        <f>D526</f>
        <v>19.981966904877233</v>
      </c>
      <c r="E427" s="267"/>
      <c r="F427" s="181"/>
      <c r="G427" s="184"/>
      <c r="H427" s="164"/>
      <c r="I427" s="184"/>
      <c r="J427" s="164"/>
      <c r="K427" s="165"/>
      <c r="L427" s="165"/>
    </row>
    <row r="428" spans="2:12" ht="12.75" outlineLevel="1">
      <c r="B428" s="170" t="s">
        <v>213</v>
      </c>
      <c r="C428" s="167"/>
      <c r="D428" s="187">
        <f>D527</f>
        <v>21.021231656240936</v>
      </c>
      <c r="E428" s="267"/>
      <c r="F428" s="184"/>
      <c r="G428" s="184"/>
      <c r="H428" s="164"/>
      <c r="I428" s="184"/>
      <c r="J428" s="164"/>
      <c r="K428" s="165"/>
      <c r="L428" s="165"/>
    </row>
    <row r="429" spans="2:12" ht="12.75" outlineLevel="1">
      <c r="B429" s="167" t="s">
        <v>247</v>
      </c>
      <c r="C429" s="167"/>
      <c r="D429" s="164"/>
      <c r="E429" s="164"/>
      <c r="F429" s="164"/>
      <c r="G429" s="164"/>
      <c r="H429" s="164"/>
      <c r="I429" s="164"/>
      <c r="J429" s="164"/>
      <c r="K429" s="165"/>
      <c r="L429" s="165"/>
    </row>
    <row r="430" spans="2:12" ht="12.75">
      <c r="B430" s="167"/>
      <c r="C430" s="167"/>
      <c r="E430" s="165"/>
      <c r="F430" s="165"/>
      <c r="G430" s="165"/>
      <c r="H430" s="165"/>
      <c r="I430" s="165"/>
      <c r="J430" s="165"/>
      <c r="K430" s="165"/>
      <c r="L430" s="165"/>
    </row>
    <row r="431" spans="2:12" s="60" customFormat="1" ht="12.75">
      <c r="B431" s="59" t="s">
        <v>22</v>
      </c>
      <c r="C431" s="59"/>
      <c r="E431" s="182"/>
      <c r="F431" s="182"/>
      <c r="G431" s="182"/>
      <c r="H431" s="182"/>
      <c r="I431" s="182"/>
      <c r="J431" s="182"/>
      <c r="K431" s="182"/>
      <c r="L431" s="182"/>
    </row>
    <row r="432" spans="2:12" ht="12.75">
      <c r="B432" s="167"/>
      <c r="C432" s="167"/>
      <c r="E432" s="165"/>
      <c r="F432" s="165"/>
      <c r="G432" s="165"/>
      <c r="H432" s="165"/>
      <c r="I432" s="165"/>
      <c r="J432" s="165"/>
      <c r="K432" s="165"/>
      <c r="L432" s="165"/>
    </row>
    <row r="433" spans="2:12" ht="12.75">
      <c r="B433" s="177"/>
      <c r="C433" s="167"/>
      <c r="E433" s="165"/>
      <c r="F433" s="165"/>
      <c r="G433" s="165"/>
      <c r="H433" s="165"/>
      <c r="I433" s="165"/>
      <c r="J433" s="165"/>
      <c r="K433" s="165"/>
      <c r="L433" s="165"/>
    </row>
    <row r="434" spans="2:12" ht="12.75">
      <c r="B434" s="225" t="s">
        <v>496</v>
      </c>
      <c r="C434" s="167"/>
      <c r="E434" s="165"/>
      <c r="F434" s="165"/>
      <c r="G434" s="165"/>
      <c r="H434" s="165"/>
      <c r="I434" s="165"/>
      <c r="J434" s="165"/>
      <c r="K434" s="165"/>
      <c r="L434" s="165"/>
    </row>
    <row r="435" spans="2:12" ht="12.75">
      <c r="B435" s="167"/>
      <c r="C435" s="167"/>
      <c r="E435" s="165"/>
      <c r="F435" s="165"/>
      <c r="G435" s="165"/>
      <c r="H435" s="165"/>
      <c r="I435" s="165"/>
      <c r="J435" s="165"/>
      <c r="K435" s="165"/>
      <c r="L435" s="165"/>
    </row>
    <row r="436" spans="2:12" ht="12.75">
      <c r="B436" s="172" t="s">
        <v>198</v>
      </c>
      <c r="C436" s="167"/>
      <c r="E436" s="165"/>
      <c r="F436" s="165"/>
      <c r="G436" s="165"/>
      <c r="H436" s="165"/>
      <c r="I436" s="165"/>
      <c r="J436" s="165"/>
      <c r="K436" s="165"/>
      <c r="L436" s="165"/>
    </row>
    <row r="437" spans="2:12" ht="12.75">
      <c r="B437" s="170" t="s">
        <v>199</v>
      </c>
      <c r="C437" s="167" t="s">
        <v>63</v>
      </c>
      <c r="D437" s="226">
        <f>D291*SUM(Rekenvolumes!E132:L132)</f>
        <v>27600</v>
      </c>
      <c r="E437" s="185"/>
      <c r="F437" s="185"/>
      <c r="G437" s="185"/>
      <c r="H437" s="185"/>
      <c r="I437" s="185"/>
      <c r="J437" s="185"/>
      <c r="K437" s="185"/>
      <c r="L437" s="185"/>
    </row>
    <row r="438" spans="2:12" ht="12.75">
      <c r="B438" s="170" t="s">
        <v>200</v>
      </c>
      <c r="C438" s="167" t="s">
        <v>63</v>
      </c>
      <c r="D438" s="226">
        <f>D292*SUM(Rekenvolumes!E133:L133)</f>
        <v>2336779.645950636</v>
      </c>
      <c r="E438" s="185"/>
      <c r="F438" s="185"/>
      <c r="G438" s="185"/>
      <c r="H438" s="185"/>
      <c r="I438" s="185"/>
      <c r="J438" s="185"/>
      <c r="K438" s="185"/>
      <c r="L438" s="185"/>
    </row>
    <row r="439" spans="2:12" ht="12.75">
      <c r="B439" s="170" t="s">
        <v>201</v>
      </c>
      <c r="C439" s="167" t="s">
        <v>63</v>
      </c>
      <c r="D439" s="226">
        <f>D293*SUM(Rekenvolumes!E134:L134)</f>
        <v>2337272.525793894</v>
      </c>
      <c r="E439" s="185"/>
      <c r="F439" s="185"/>
      <c r="G439" s="185"/>
      <c r="H439" s="185"/>
      <c r="I439" s="185"/>
      <c r="J439" s="185"/>
      <c r="K439" s="185"/>
      <c r="L439" s="185"/>
    </row>
    <row r="440" spans="2:12" ht="12.75">
      <c r="B440" s="170" t="s">
        <v>203</v>
      </c>
      <c r="C440" s="167" t="s">
        <v>63</v>
      </c>
      <c r="D440" s="226">
        <f>D294*SUM(Rekenvolumes!E135:L135)</f>
        <v>0</v>
      </c>
      <c r="E440" s="185"/>
      <c r="F440" s="185"/>
      <c r="G440" s="185"/>
      <c r="H440" s="185"/>
      <c r="I440" s="185"/>
      <c r="J440" s="185"/>
      <c r="K440" s="185"/>
      <c r="L440" s="185"/>
    </row>
    <row r="441" spans="2:12" ht="12.75">
      <c r="B441" s="170" t="s">
        <v>247</v>
      </c>
      <c r="C441" s="173"/>
      <c r="D441" s="185"/>
      <c r="E441" s="185"/>
      <c r="F441" s="185"/>
      <c r="G441" s="185"/>
      <c r="H441" s="185"/>
      <c r="I441" s="185"/>
      <c r="J441" s="185"/>
      <c r="K441" s="185"/>
      <c r="L441" s="185"/>
    </row>
    <row r="442" spans="2:12" ht="12.75">
      <c r="B442" s="172" t="s">
        <v>204</v>
      </c>
      <c r="C442" s="173"/>
      <c r="D442" s="185"/>
      <c r="E442" s="185"/>
      <c r="F442" s="185"/>
      <c r="G442" s="185"/>
      <c r="H442" s="185"/>
      <c r="I442" s="185"/>
      <c r="J442" s="185"/>
      <c r="K442" s="185"/>
      <c r="L442" s="185"/>
    </row>
    <row r="443" spans="2:12" ht="12.75">
      <c r="B443" s="170" t="s">
        <v>199</v>
      </c>
      <c r="C443" s="167" t="s">
        <v>63</v>
      </c>
      <c r="D443" s="226">
        <f>D297*SUM(Rekenvolumes!E138:L138)</f>
        <v>16538.38</v>
      </c>
      <c r="E443" s="185"/>
      <c r="F443" s="185"/>
      <c r="G443" s="185"/>
      <c r="H443" s="185"/>
      <c r="I443" s="185"/>
      <c r="J443" s="185"/>
      <c r="K443" s="185"/>
      <c r="L443" s="185"/>
    </row>
    <row r="444" spans="2:12" ht="12.75">
      <c r="B444" s="170" t="s">
        <v>200</v>
      </c>
      <c r="C444" s="167" t="s">
        <v>63</v>
      </c>
      <c r="D444" s="226">
        <f>D298*SUM(Rekenvolumes!E139:L139)</f>
        <v>111588.48964436534</v>
      </c>
      <c r="E444" s="185"/>
      <c r="F444" s="185"/>
      <c r="G444" s="185"/>
      <c r="H444" s="185"/>
      <c r="I444" s="185"/>
      <c r="J444" s="185"/>
      <c r="K444" s="185"/>
      <c r="L444" s="185"/>
    </row>
    <row r="445" spans="2:12" ht="12.75">
      <c r="B445" s="170" t="s">
        <v>205</v>
      </c>
      <c r="C445" s="167" t="s">
        <v>63</v>
      </c>
      <c r="D445" s="226">
        <f>D299*SUM(Rekenvolumes!E140:L140)</f>
        <v>34213.995565754085</v>
      </c>
      <c r="E445" s="185"/>
      <c r="F445" s="185"/>
      <c r="G445" s="185"/>
      <c r="H445" s="185"/>
      <c r="I445" s="185"/>
      <c r="J445" s="185"/>
      <c r="K445" s="185"/>
      <c r="L445" s="185"/>
    </row>
    <row r="446" spans="2:12" ht="12.75">
      <c r="B446" s="170" t="s">
        <v>203</v>
      </c>
      <c r="C446" s="167" t="s">
        <v>63</v>
      </c>
      <c r="D446" s="226">
        <f>D300*SUM(Rekenvolumes!E141:L141)</f>
        <v>26983.55583162832</v>
      </c>
      <c r="E446" s="185"/>
      <c r="F446" s="185"/>
      <c r="G446" s="185"/>
      <c r="H446" s="185"/>
      <c r="I446" s="185"/>
      <c r="J446" s="185"/>
      <c r="K446" s="185"/>
      <c r="L446" s="185"/>
    </row>
    <row r="447" spans="2:12" ht="12.75">
      <c r="B447" s="170" t="s">
        <v>247</v>
      </c>
      <c r="C447" s="173"/>
      <c r="D447" s="185"/>
      <c r="E447" s="185"/>
      <c r="F447" s="185"/>
      <c r="G447" s="185"/>
      <c r="H447" s="185"/>
      <c r="I447" s="185"/>
      <c r="J447" s="185"/>
      <c r="K447" s="185"/>
      <c r="L447" s="185"/>
    </row>
    <row r="448" spans="2:12" ht="12.75">
      <c r="B448" s="172" t="s">
        <v>206</v>
      </c>
      <c r="C448" s="173"/>
      <c r="D448" s="185"/>
      <c r="E448" s="185"/>
      <c r="F448" s="185"/>
      <c r="G448" s="185"/>
      <c r="H448" s="185"/>
      <c r="I448" s="185"/>
      <c r="J448" s="185"/>
      <c r="K448" s="185"/>
      <c r="L448" s="185"/>
    </row>
    <row r="449" spans="2:12" ht="12.75">
      <c r="B449" s="170" t="s">
        <v>199</v>
      </c>
      <c r="C449" s="167" t="s">
        <v>63</v>
      </c>
      <c r="D449" s="226">
        <f>D303*SUM(Rekenvolumes!E144:L144)</f>
        <v>226507.12320302203</v>
      </c>
      <c r="E449" s="185"/>
      <c r="F449" s="185"/>
      <c r="G449" s="185"/>
      <c r="H449" s="185"/>
      <c r="I449" s="185"/>
      <c r="J449" s="185"/>
      <c r="K449" s="185"/>
      <c r="L449" s="185"/>
    </row>
    <row r="450" spans="2:12" ht="12.75">
      <c r="B450" s="170" t="s">
        <v>200</v>
      </c>
      <c r="C450" s="167" t="s">
        <v>63</v>
      </c>
      <c r="D450" s="226">
        <f>D304*SUM(Rekenvolumes!E145:L145)</f>
        <v>12187189.49199247</v>
      </c>
      <c r="E450" s="185"/>
      <c r="F450" s="185"/>
      <c r="G450" s="185"/>
      <c r="H450" s="185"/>
      <c r="I450" s="185"/>
      <c r="J450" s="185"/>
      <c r="K450" s="185"/>
      <c r="L450" s="185"/>
    </row>
    <row r="451" spans="2:12" ht="12.75">
      <c r="B451" s="170" t="s">
        <v>201</v>
      </c>
      <c r="C451" s="167" t="s">
        <v>63</v>
      </c>
      <c r="D451" s="226">
        <f>D305*SUM(Rekenvolumes!E146:L146)</f>
        <v>11745856.969978316</v>
      </c>
      <c r="E451" s="185"/>
      <c r="F451" s="185"/>
      <c r="G451" s="185"/>
      <c r="H451" s="185"/>
      <c r="I451" s="185"/>
      <c r="J451" s="185"/>
      <c r="K451" s="185"/>
      <c r="L451" s="185"/>
    </row>
    <row r="452" spans="2:12" ht="12.75">
      <c r="B452" s="170" t="s">
        <v>203</v>
      </c>
      <c r="C452" s="167" t="s">
        <v>63</v>
      </c>
      <c r="D452" s="226">
        <f>D306*SUM(Rekenvolumes!E147:L147)</f>
        <v>61995.635101321226</v>
      </c>
      <c r="E452" s="185"/>
      <c r="F452" s="185"/>
      <c r="G452" s="185"/>
      <c r="H452" s="185"/>
      <c r="I452" s="185"/>
      <c r="J452" s="185"/>
      <c r="K452" s="185"/>
      <c r="L452" s="185"/>
    </row>
    <row r="453" spans="2:12" ht="12.75">
      <c r="B453" s="170" t="s">
        <v>247</v>
      </c>
      <c r="C453" s="173"/>
      <c r="D453" s="185"/>
      <c r="E453" s="185"/>
      <c r="F453" s="185"/>
      <c r="G453" s="185"/>
      <c r="H453" s="185"/>
      <c r="I453" s="185"/>
      <c r="J453" s="185"/>
      <c r="K453" s="185"/>
      <c r="L453" s="185"/>
    </row>
    <row r="454" spans="2:12" ht="12.75">
      <c r="B454" s="172" t="s">
        <v>207</v>
      </c>
      <c r="C454" s="173"/>
      <c r="D454" s="185"/>
      <c r="E454" s="185"/>
      <c r="F454" s="185"/>
      <c r="G454" s="185"/>
      <c r="H454" s="185"/>
      <c r="I454" s="185"/>
      <c r="J454" s="185"/>
      <c r="K454" s="185"/>
      <c r="L454" s="185"/>
    </row>
    <row r="455" spans="2:12" ht="12.75">
      <c r="B455" s="170" t="s">
        <v>199</v>
      </c>
      <c r="C455" s="167" t="s">
        <v>63</v>
      </c>
      <c r="D455" s="226">
        <f>D309*SUM(Rekenvolumes!E150:L150)</f>
        <v>58394.909999999996</v>
      </c>
      <c r="E455" s="185"/>
      <c r="F455" s="185"/>
      <c r="G455" s="185"/>
      <c r="H455" s="185"/>
      <c r="I455" s="185"/>
      <c r="J455" s="185"/>
      <c r="K455" s="185"/>
      <c r="L455" s="185"/>
    </row>
    <row r="456" spans="2:12" ht="12.75">
      <c r="B456" s="170" t="s">
        <v>200</v>
      </c>
      <c r="C456" s="167" t="s">
        <v>63</v>
      </c>
      <c r="D456" s="226">
        <f>D310*SUM(Rekenvolumes!E151:L151)</f>
        <v>1940882.9521182748</v>
      </c>
      <c r="E456" s="185"/>
      <c r="F456" s="185"/>
      <c r="G456" s="185"/>
      <c r="H456" s="185"/>
      <c r="I456" s="185"/>
      <c r="J456" s="185"/>
      <c r="K456" s="185"/>
      <c r="L456" s="185"/>
    </row>
    <row r="457" spans="2:12" ht="12.75">
      <c r="B457" s="170" t="s">
        <v>205</v>
      </c>
      <c r="C457" s="167" t="s">
        <v>63</v>
      </c>
      <c r="D457" s="226">
        <f>D311*SUM(Rekenvolumes!E152:L152)</f>
        <v>1019999.9945836</v>
      </c>
      <c r="E457" s="185"/>
      <c r="F457" s="185"/>
      <c r="G457" s="185"/>
      <c r="H457" s="185"/>
      <c r="I457" s="185"/>
      <c r="J457" s="185"/>
      <c r="K457" s="185"/>
      <c r="L457" s="185"/>
    </row>
    <row r="458" spans="2:12" ht="12.75">
      <c r="B458" s="170" t="s">
        <v>203</v>
      </c>
      <c r="C458" s="167" t="s">
        <v>63</v>
      </c>
      <c r="D458" s="226">
        <f>D312*SUM(Rekenvolumes!E153:L153)</f>
        <v>8110.034377500949</v>
      </c>
      <c r="E458" s="185"/>
      <c r="F458" s="185"/>
      <c r="G458" s="185"/>
      <c r="H458" s="185"/>
      <c r="I458" s="185"/>
      <c r="J458" s="185"/>
      <c r="K458" s="185"/>
      <c r="L458" s="185"/>
    </row>
    <row r="459" spans="2:12" ht="12.75">
      <c r="B459" s="170" t="s">
        <v>247</v>
      </c>
      <c r="C459" s="173"/>
      <c r="D459" s="185"/>
      <c r="E459" s="185"/>
      <c r="F459" s="185"/>
      <c r="G459" s="185"/>
      <c r="H459" s="185"/>
      <c r="I459" s="185"/>
      <c r="J459" s="185"/>
      <c r="K459" s="185"/>
      <c r="L459" s="185"/>
    </row>
    <row r="460" spans="2:12" ht="12.75">
      <c r="B460" s="172" t="s">
        <v>208</v>
      </c>
      <c r="C460" s="173"/>
      <c r="D460" s="185"/>
      <c r="E460" s="185"/>
      <c r="F460" s="185"/>
      <c r="G460" s="185"/>
      <c r="H460" s="185"/>
      <c r="I460" s="185"/>
      <c r="J460" s="185"/>
      <c r="K460" s="185"/>
      <c r="L460" s="185"/>
    </row>
    <row r="461" spans="2:12" ht="12.75">
      <c r="B461" s="170" t="s">
        <v>199</v>
      </c>
      <c r="C461" s="167" t="s">
        <v>63</v>
      </c>
      <c r="D461" s="226">
        <f>D315*SUM(Rekenvolumes!E156:L156)</f>
        <v>1724914.1889299613</v>
      </c>
      <c r="E461" s="185"/>
      <c r="F461" s="185"/>
      <c r="G461" s="185"/>
      <c r="H461" s="185"/>
      <c r="I461" s="185"/>
      <c r="J461" s="185"/>
      <c r="K461" s="185"/>
      <c r="L461" s="185"/>
    </row>
    <row r="462" spans="2:12" ht="12.75">
      <c r="B462" s="170" t="s">
        <v>200</v>
      </c>
      <c r="C462" s="167" t="s">
        <v>63</v>
      </c>
      <c r="D462" s="226">
        <f>D316*SUM(Rekenvolumes!E157:L157)</f>
        <v>48482835.972779356</v>
      </c>
      <c r="E462" s="185"/>
      <c r="F462" s="185"/>
      <c r="G462" s="185"/>
      <c r="H462" s="185"/>
      <c r="I462" s="185"/>
      <c r="J462" s="185"/>
      <c r="K462" s="185"/>
      <c r="L462" s="185"/>
    </row>
    <row r="463" spans="2:12" ht="12.75">
      <c r="B463" s="170" t="s">
        <v>201</v>
      </c>
      <c r="C463" s="167" t="s">
        <v>63</v>
      </c>
      <c r="D463" s="226">
        <f>D317*SUM(Rekenvolumes!E158:L158)</f>
        <v>42566065.485149406</v>
      </c>
      <c r="E463" s="185"/>
      <c r="F463" s="185"/>
      <c r="G463" s="185"/>
      <c r="H463" s="185"/>
      <c r="I463" s="185"/>
      <c r="J463" s="185"/>
      <c r="K463" s="185"/>
      <c r="L463" s="185"/>
    </row>
    <row r="464" spans="2:12" ht="12.75">
      <c r="B464" s="170" t="s">
        <v>203</v>
      </c>
      <c r="C464" s="167" t="s">
        <v>63</v>
      </c>
      <c r="D464" s="226">
        <f>D318*SUM(Rekenvolumes!E159:L159)</f>
        <v>352213.75645165436</v>
      </c>
      <c r="E464" s="185"/>
      <c r="F464" s="185"/>
      <c r="G464" s="185"/>
      <c r="H464" s="185"/>
      <c r="I464" s="185"/>
      <c r="J464" s="185"/>
      <c r="K464" s="185"/>
      <c r="L464" s="185"/>
    </row>
    <row r="465" spans="2:12" ht="12.75">
      <c r="B465" s="170" t="s">
        <v>247</v>
      </c>
      <c r="C465" s="173"/>
      <c r="D465" s="185"/>
      <c r="E465" s="185"/>
      <c r="F465" s="185"/>
      <c r="G465" s="185"/>
      <c r="H465" s="185"/>
      <c r="I465" s="185"/>
      <c r="J465" s="185"/>
      <c r="K465" s="185"/>
      <c r="L465" s="185"/>
    </row>
    <row r="466" spans="2:12" ht="12.75">
      <c r="B466" s="172" t="s">
        <v>209</v>
      </c>
      <c r="C466" s="173"/>
      <c r="D466" s="185"/>
      <c r="E466" s="185"/>
      <c r="F466" s="185"/>
      <c r="G466" s="185"/>
      <c r="H466" s="185"/>
      <c r="I466" s="185"/>
      <c r="J466" s="185"/>
      <c r="K466" s="185"/>
      <c r="L466" s="185"/>
    </row>
    <row r="467" spans="2:12" ht="12.75">
      <c r="B467" s="170" t="s">
        <v>199</v>
      </c>
      <c r="C467" s="167" t="s">
        <v>63</v>
      </c>
      <c r="D467" s="226">
        <f>D321*SUM(Rekenvolumes!E162:L162)</f>
        <v>78158.18181818182</v>
      </c>
      <c r="E467" s="185"/>
      <c r="F467" s="185"/>
      <c r="G467" s="185"/>
      <c r="H467" s="185"/>
      <c r="I467" s="185"/>
      <c r="J467" s="185"/>
      <c r="K467" s="185"/>
      <c r="L467" s="185"/>
    </row>
    <row r="468" spans="2:12" ht="12.75">
      <c r="B468" s="170" t="s">
        <v>200</v>
      </c>
      <c r="C468" s="167" t="s">
        <v>63</v>
      </c>
      <c r="D468" s="226">
        <f>D322*SUM(Rekenvolumes!E163:L163)</f>
        <v>1101404.514242775</v>
      </c>
      <c r="E468" s="185"/>
      <c r="F468" s="185"/>
      <c r="G468" s="185"/>
      <c r="H468" s="185"/>
      <c r="I468" s="185"/>
      <c r="J468" s="185"/>
      <c r="K468" s="185"/>
      <c r="L468" s="185"/>
    </row>
    <row r="469" spans="2:12" ht="12.75">
      <c r="B469" s="170" t="s">
        <v>205</v>
      </c>
      <c r="C469" s="167" t="s">
        <v>63</v>
      </c>
      <c r="D469" s="226">
        <f>D323*SUM(Rekenvolumes!E164:L164)</f>
        <v>992702.6385470475</v>
      </c>
      <c r="E469" s="185"/>
      <c r="F469" s="185"/>
      <c r="G469" s="185"/>
      <c r="H469" s="185"/>
      <c r="I469" s="185"/>
      <c r="J469" s="185"/>
      <c r="K469" s="185"/>
      <c r="L469" s="185"/>
    </row>
    <row r="470" spans="2:12" ht="12.75">
      <c r="B470" s="170" t="s">
        <v>203</v>
      </c>
      <c r="C470" s="167" t="s">
        <v>63</v>
      </c>
      <c r="D470" s="226">
        <f>D324*SUM(Rekenvolumes!E165:L165)</f>
        <v>20654.34566627187</v>
      </c>
      <c r="E470" s="185"/>
      <c r="F470" s="185"/>
      <c r="G470" s="185"/>
      <c r="H470" s="185"/>
      <c r="I470" s="185"/>
      <c r="J470" s="185"/>
      <c r="K470" s="185"/>
      <c r="L470" s="185"/>
    </row>
    <row r="471" spans="2:12" ht="12.75">
      <c r="B471" s="170" t="s">
        <v>247</v>
      </c>
      <c r="C471" s="173"/>
      <c r="D471" s="185"/>
      <c r="E471" s="185"/>
      <c r="F471" s="185"/>
      <c r="G471" s="185"/>
      <c r="H471" s="185"/>
      <c r="I471" s="185"/>
      <c r="J471" s="185"/>
      <c r="K471" s="185"/>
      <c r="L471" s="185"/>
    </row>
    <row r="472" spans="2:12" ht="12.75">
      <c r="B472" s="172" t="s">
        <v>210</v>
      </c>
      <c r="C472" s="173"/>
      <c r="D472" s="185"/>
      <c r="E472" s="185"/>
      <c r="F472" s="185"/>
      <c r="G472" s="185"/>
      <c r="H472" s="185"/>
      <c r="I472" s="185"/>
      <c r="J472" s="185"/>
      <c r="K472" s="185"/>
      <c r="L472" s="185"/>
    </row>
    <row r="473" spans="2:12" ht="12.75">
      <c r="B473" s="170" t="s">
        <v>199</v>
      </c>
      <c r="C473" s="173" t="s">
        <v>63</v>
      </c>
      <c r="D473" s="226">
        <f>D327*SUM(Rekenvolumes!E168:L168)</f>
        <v>110322.69192802541</v>
      </c>
      <c r="E473" s="185"/>
      <c r="F473" s="185"/>
      <c r="G473" s="185"/>
      <c r="H473" s="185"/>
      <c r="I473" s="185"/>
      <c r="J473" s="185"/>
      <c r="K473" s="185"/>
      <c r="L473" s="185"/>
    </row>
    <row r="474" spans="2:12" ht="12.75">
      <c r="B474" s="170" t="s">
        <v>211</v>
      </c>
      <c r="C474" s="173" t="s">
        <v>63</v>
      </c>
      <c r="D474" s="226">
        <f>D328*SUM(Rekenvolumes!E169:L169)</f>
        <v>7630867.94903277</v>
      </c>
      <c r="E474" s="185"/>
      <c r="F474" s="185"/>
      <c r="G474" s="185"/>
      <c r="H474" s="185"/>
      <c r="I474" s="185"/>
      <c r="J474" s="185"/>
      <c r="K474" s="185"/>
      <c r="L474" s="185"/>
    </row>
    <row r="475" spans="2:12" ht="12.75">
      <c r="B475" s="170" t="s">
        <v>201</v>
      </c>
      <c r="C475" s="173" t="s">
        <v>63</v>
      </c>
      <c r="D475" s="226">
        <f>D329*SUM(Rekenvolumes!E170:L170)</f>
        <v>7051955.9845611015</v>
      </c>
      <c r="E475" s="185"/>
      <c r="F475" s="185"/>
      <c r="G475" s="185"/>
      <c r="H475" s="185"/>
      <c r="I475" s="185"/>
      <c r="J475" s="185"/>
      <c r="K475" s="185"/>
      <c r="L475" s="185"/>
    </row>
    <row r="476" spans="2:12" ht="12.75">
      <c r="B476" s="170" t="s">
        <v>202</v>
      </c>
      <c r="C476" s="173" t="s">
        <v>63</v>
      </c>
      <c r="D476" s="226">
        <f>D330*SUM(Rekenvolumes!E171:L171)</f>
        <v>10769132.159988271</v>
      </c>
      <c r="E476" s="185"/>
      <c r="F476" s="185"/>
      <c r="G476" s="185"/>
      <c r="H476" s="185"/>
      <c r="I476" s="185"/>
      <c r="J476" s="185"/>
      <c r="K476" s="185"/>
      <c r="L476" s="185"/>
    </row>
    <row r="477" spans="2:12" ht="12.75">
      <c r="B477" s="170" t="s">
        <v>203</v>
      </c>
      <c r="C477" s="173" t="s">
        <v>63</v>
      </c>
      <c r="D477" s="226">
        <f>D331*SUM(Rekenvolumes!E172:L172)</f>
        <v>335335.5402954286</v>
      </c>
      <c r="E477" s="185"/>
      <c r="F477" s="185"/>
      <c r="G477" s="185"/>
      <c r="H477" s="185"/>
      <c r="I477" s="185"/>
      <c r="J477" s="185"/>
      <c r="K477" s="185"/>
      <c r="L477" s="185"/>
    </row>
    <row r="478" spans="2:12" ht="12.75">
      <c r="B478" s="170" t="s">
        <v>247</v>
      </c>
      <c r="C478" s="173"/>
      <c r="D478" s="185"/>
      <c r="E478" s="185"/>
      <c r="F478" s="185"/>
      <c r="G478" s="185"/>
      <c r="H478" s="185"/>
      <c r="I478" s="185"/>
      <c r="J478" s="185"/>
      <c r="K478" s="185"/>
      <c r="L478" s="185"/>
    </row>
    <row r="479" spans="2:12" ht="12.75">
      <c r="B479" s="172" t="s">
        <v>212</v>
      </c>
      <c r="C479" s="173"/>
      <c r="D479" s="185"/>
      <c r="E479" s="185"/>
      <c r="F479" s="185"/>
      <c r="G479" s="185"/>
      <c r="H479" s="185"/>
      <c r="I479" s="185"/>
      <c r="J479" s="185"/>
      <c r="K479" s="185"/>
      <c r="L479" s="185"/>
    </row>
    <row r="480" spans="2:12" ht="12.75">
      <c r="B480" s="170" t="s">
        <v>199</v>
      </c>
      <c r="C480" s="173" t="s">
        <v>63</v>
      </c>
      <c r="D480" s="226">
        <f>D334*SUM(Rekenvolumes!E175:L175)</f>
        <v>9924321.209432999</v>
      </c>
      <c r="E480" s="185"/>
      <c r="F480" s="185"/>
      <c r="G480" s="185"/>
      <c r="H480" s="185"/>
      <c r="I480" s="185"/>
      <c r="J480" s="185"/>
      <c r="K480" s="185"/>
      <c r="L480" s="185"/>
    </row>
    <row r="481" spans="2:12" ht="12.75">
      <c r="B481" s="170" t="s">
        <v>211</v>
      </c>
      <c r="C481" s="173" t="s">
        <v>63</v>
      </c>
      <c r="D481" s="226">
        <f>D335*SUM(Rekenvolumes!E176:L176)</f>
        <v>106421940.16229306</v>
      </c>
      <c r="E481" s="185"/>
      <c r="F481" s="185"/>
      <c r="G481" s="185"/>
      <c r="H481" s="185"/>
      <c r="I481" s="185"/>
      <c r="J481" s="185"/>
      <c r="K481" s="185"/>
      <c r="L481" s="185"/>
    </row>
    <row r="482" spans="2:12" ht="12.75">
      <c r="B482" s="170" t="s">
        <v>201</v>
      </c>
      <c r="C482" s="173" t="s">
        <v>63</v>
      </c>
      <c r="D482" s="226">
        <f>D336*SUM(Rekenvolumes!E177:L177)</f>
        <v>92073139.03864819</v>
      </c>
      <c r="E482" s="185"/>
      <c r="F482" s="185"/>
      <c r="G482" s="185"/>
      <c r="H482" s="185"/>
      <c r="I482" s="185"/>
      <c r="J482" s="185"/>
      <c r="K482" s="185"/>
      <c r="L482" s="185"/>
    </row>
    <row r="483" spans="2:12" ht="12.75">
      <c r="B483" s="170" t="s">
        <v>202</v>
      </c>
      <c r="C483" s="173" t="s">
        <v>63</v>
      </c>
      <c r="D483" s="226">
        <f>D337*SUM(Rekenvolumes!E178:L178)</f>
        <v>177760923.90012008</v>
      </c>
      <c r="E483" s="185"/>
      <c r="F483" s="185"/>
      <c r="G483" s="185"/>
      <c r="H483" s="185"/>
      <c r="I483" s="185"/>
      <c r="J483" s="185"/>
      <c r="K483" s="185"/>
      <c r="L483" s="185"/>
    </row>
    <row r="484" spans="2:12" ht="12.75">
      <c r="B484" s="170" t="s">
        <v>203</v>
      </c>
      <c r="C484" s="173" t="s">
        <v>63</v>
      </c>
      <c r="D484" s="226">
        <f>D338*SUM(Rekenvolumes!E179:L179)</f>
        <v>1754597.142718631</v>
      </c>
      <c r="E484" s="185"/>
      <c r="F484" s="185"/>
      <c r="G484" s="185"/>
      <c r="H484" s="185"/>
      <c r="I484" s="185"/>
      <c r="J484" s="185"/>
      <c r="K484" s="185"/>
      <c r="L484" s="185"/>
    </row>
    <row r="485" spans="2:12" ht="12.75">
      <c r="B485" s="170" t="s">
        <v>247</v>
      </c>
      <c r="C485" s="173"/>
      <c r="D485" s="185"/>
      <c r="E485" s="185"/>
      <c r="F485" s="185"/>
      <c r="G485" s="185"/>
      <c r="H485" s="185"/>
      <c r="I485" s="185"/>
      <c r="J485" s="185"/>
      <c r="K485" s="185"/>
      <c r="L485" s="185"/>
    </row>
    <row r="486" spans="2:12" ht="12.75">
      <c r="B486" s="172" t="s">
        <v>213</v>
      </c>
      <c r="C486" s="173"/>
      <c r="D486" s="185"/>
      <c r="E486" s="185"/>
      <c r="F486" s="185"/>
      <c r="G486" s="185"/>
      <c r="H486" s="185"/>
      <c r="I486" s="185"/>
      <c r="J486" s="185"/>
      <c r="K486" s="185"/>
      <c r="L486" s="185"/>
    </row>
    <row r="487" spans="2:12" ht="12.75">
      <c r="B487" s="170" t="s">
        <v>199</v>
      </c>
      <c r="C487" s="173" t="s">
        <v>63</v>
      </c>
      <c r="D487" s="226">
        <f>D341*SUM(Rekenvolumes!E182:L182)</f>
        <v>17697644.79620529</v>
      </c>
      <c r="E487" s="185"/>
      <c r="F487" s="185"/>
      <c r="G487" s="185"/>
      <c r="H487" s="185"/>
      <c r="I487" s="185"/>
      <c r="J487" s="185"/>
      <c r="K487" s="185"/>
      <c r="L487" s="185"/>
    </row>
    <row r="488" spans="2:12" ht="12.75">
      <c r="B488" s="170" t="s">
        <v>211</v>
      </c>
      <c r="C488" s="173" t="s">
        <v>63</v>
      </c>
      <c r="D488" s="226">
        <f>D342*SUM(Rekenvolumes!E183:L183)</f>
        <v>73202387.23898697</v>
      </c>
      <c r="E488" s="185"/>
      <c r="F488" s="185"/>
      <c r="G488" s="185"/>
      <c r="H488" s="185"/>
      <c r="I488" s="185"/>
      <c r="J488" s="185"/>
      <c r="K488" s="185"/>
      <c r="L488" s="185"/>
    </row>
    <row r="489" spans="2:12" ht="12.75">
      <c r="B489" s="170" t="s">
        <v>201</v>
      </c>
      <c r="C489" s="173" t="s">
        <v>63</v>
      </c>
      <c r="D489" s="226">
        <f>D343*SUM(Rekenvolumes!E184:L184)</f>
        <v>37216302.5366663</v>
      </c>
      <c r="E489" s="185"/>
      <c r="F489" s="185"/>
      <c r="G489" s="185"/>
      <c r="H489" s="185"/>
      <c r="I489" s="185"/>
      <c r="J489" s="185"/>
      <c r="K489" s="185"/>
      <c r="L489" s="185"/>
    </row>
    <row r="490" spans="2:12" ht="12.75">
      <c r="B490" s="170" t="s">
        <v>202</v>
      </c>
      <c r="C490" s="173" t="s">
        <v>63</v>
      </c>
      <c r="D490" s="226">
        <f>D344*SUM(Rekenvolumes!E185:L185)</f>
        <v>62491344.06461621</v>
      </c>
      <c r="E490" s="185"/>
      <c r="F490" s="185"/>
      <c r="G490" s="185"/>
      <c r="H490" s="185"/>
      <c r="I490" s="185"/>
      <c r="J490" s="185"/>
      <c r="K490" s="185"/>
      <c r="L490" s="185"/>
    </row>
    <row r="491" spans="2:12" ht="12.75">
      <c r="B491" s="170" t="s">
        <v>203</v>
      </c>
      <c r="C491" s="173" t="s">
        <v>63</v>
      </c>
      <c r="D491" s="226">
        <f>D345*SUM(Rekenvolumes!E186:L186)</f>
        <v>181250.99882751371</v>
      </c>
      <c r="E491" s="185"/>
      <c r="F491" s="185"/>
      <c r="G491" s="185"/>
      <c r="H491" s="185"/>
      <c r="I491" s="185"/>
      <c r="J491" s="185"/>
      <c r="K491" s="185"/>
      <c r="L491" s="185"/>
    </row>
    <row r="492" spans="2:12" ht="12.75">
      <c r="B492" s="170" t="s">
        <v>247</v>
      </c>
      <c r="C492" s="173"/>
      <c r="D492" s="185"/>
      <c r="E492" s="185"/>
      <c r="F492" s="185"/>
      <c r="G492" s="185"/>
      <c r="H492" s="185"/>
      <c r="I492" s="185"/>
      <c r="J492" s="185"/>
      <c r="K492" s="185"/>
      <c r="L492" s="185"/>
    </row>
    <row r="493" spans="3:12" ht="12.75">
      <c r="C493" s="173"/>
      <c r="E493" s="165"/>
      <c r="F493" s="165"/>
      <c r="G493" s="165"/>
      <c r="H493" s="165"/>
      <c r="I493" s="165"/>
      <c r="J493" s="165"/>
      <c r="K493" s="165"/>
      <c r="L493" s="165"/>
    </row>
    <row r="494" spans="2:12" ht="12.75">
      <c r="B494" s="225" t="s">
        <v>129</v>
      </c>
      <c r="C494" s="173"/>
      <c r="E494" s="165"/>
      <c r="F494" s="165"/>
      <c r="G494" s="165"/>
      <c r="H494" s="165"/>
      <c r="I494" s="165"/>
      <c r="J494" s="165"/>
      <c r="K494" s="165"/>
      <c r="L494" s="165"/>
    </row>
    <row r="495" spans="2:12" ht="12.75">
      <c r="B495" s="178"/>
      <c r="C495" s="173"/>
      <c r="E495" s="165"/>
      <c r="F495" s="165"/>
      <c r="G495" s="186"/>
      <c r="H495" s="165"/>
      <c r="I495" s="165"/>
      <c r="J495" s="165"/>
      <c r="K495" s="165"/>
      <c r="L495" s="165"/>
    </row>
    <row r="496" spans="2:12" ht="12.75">
      <c r="B496" s="170" t="s">
        <v>121</v>
      </c>
      <c r="C496" s="173" t="s">
        <v>63</v>
      </c>
      <c r="D496" s="226">
        <f>SUM(D438,D439,D440,D444,D445,D446)</f>
        <v>4846838.212786278</v>
      </c>
      <c r="E496" s="185"/>
      <c r="F496" s="165"/>
      <c r="G496" s="165"/>
      <c r="H496" s="165"/>
      <c r="I496" s="165"/>
      <c r="J496" s="165"/>
      <c r="K496" s="165"/>
      <c r="L496" s="165"/>
    </row>
    <row r="497" spans="2:12" ht="12.75">
      <c r="B497" s="170" t="s">
        <v>134</v>
      </c>
      <c r="C497" s="173" t="s">
        <v>63</v>
      </c>
      <c r="D497" s="226">
        <f>SUM(D450,D451,D452,D456,D457,D458)</f>
        <v>26964035.07815148</v>
      </c>
      <c r="E497" s="185"/>
      <c r="F497" s="165"/>
      <c r="G497" s="165"/>
      <c r="H497" s="165"/>
      <c r="I497" s="165"/>
      <c r="J497" s="165"/>
      <c r="K497" s="165"/>
      <c r="L497" s="165"/>
    </row>
    <row r="498" spans="2:12" ht="12.75">
      <c r="B498" s="170" t="s">
        <v>135</v>
      </c>
      <c r="C498" s="173" t="s">
        <v>63</v>
      </c>
      <c r="D498" s="226">
        <f>SUM(D462,D463,D464,D468,D469,D470)</f>
        <v>93515876.7128365</v>
      </c>
      <c r="E498" s="185"/>
      <c r="F498" s="165"/>
      <c r="G498" s="165"/>
      <c r="H498" s="165"/>
      <c r="I498" s="165"/>
      <c r="J498" s="165"/>
      <c r="K498" s="165"/>
      <c r="L498" s="165"/>
    </row>
    <row r="499" spans="2:12" ht="12.75">
      <c r="B499" s="170" t="s">
        <v>210</v>
      </c>
      <c r="C499" s="173" t="s">
        <v>63</v>
      </c>
      <c r="D499" s="226">
        <f>SUM(D474:D477)</f>
        <v>25787291.63387757</v>
      </c>
      <c r="E499" s="185"/>
      <c r="F499" s="165"/>
      <c r="G499" s="165"/>
      <c r="H499" s="165"/>
      <c r="I499" s="165"/>
      <c r="J499" s="165"/>
      <c r="K499" s="165"/>
      <c r="L499" s="165"/>
    </row>
    <row r="500" spans="2:12" ht="12.75">
      <c r="B500" s="170" t="s">
        <v>212</v>
      </c>
      <c r="C500" s="173" t="s">
        <v>63</v>
      </c>
      <c r="D500" s="226">
        <f>SUM(D481:D484)</f>
        <v>378010600.24377996</v>
      </c>
      <c r="E500" s="185"/>
      <c r="F500" s="165"/>
      <c r="G500" s="165"/>
      <c r="H500" s="165"/>
      <c r="I500" s="165"/>
      <c r="J500" s="165"/>
      <c r="K500" s="165"/>
      <c r="L500" s="165"/>
    </row>
    <row r="501" spans="2:12" ht="12.75">
      <c r="B501" s="170" t="s">
        <v>213</v>
      </c>
      <c r="C501" s="173" t="s">
        <v>63</v>
      </c>
      <c r="D501" s="226">
        <f>SUM(D488:D491)</f>
        <v>173091284.839097</v>
      </c>
      <c r="E501" s="185"/>
      <c r="F501" s="165"/>
      <c r="G501" s="165"/>
      <c r="H501" s="165"/>
      <c r="I501" s="165"/>
      <c r="J501" s="165"/>
      <c r="K501" s="165"/>
      <c r="L501" s="165"/>
    </row>
    <row r="502" spans="3:12" ht="12.75">
      <c r="C502" s="173"/>
      <c r="E502" s="165"/>
      <c r="F502" s="165"/>
      <c r="G502" s="165"/>
      <c r="H502" s="165"/>
      <c r="I502" s="165"/>
      <c r="J502" s="165"/>
      <c r="K502" s="165"/>
      <c r="L502" s="165"/>
    </row>
    <row r="503" spans="2:12" ht="12.75">
      <c r="B503" s="225" t="s">
        <v>136</v>
      </c>
      <c r="C503" s="173"/>
      <c r="E503" s="165"/>
      <c r="F503" s="165"/>
      <c r="G503" s="165"/>
      <c r="H503" s="165"/>
      <c r="I503" s="165"/>
      <c r="J503" s="165"/>
      <c r="K503" s="165"/>
      <c r="L503" s="165"/>
    </row>
    <row r="504" spans="3:12" ht="12.75">
      <c r="C504" s="173"/>
      <c r="E504" s="165"/>
      <c r="F504" s="165"/>
      <c r="G504" s="165"/>
      <c r="H504" s="165"/>
      <c r="I504" s="165"/>
      <c r="J504" s="165"/>
      <c r="K504" s="165"/>
      <c r="L504" s="165"/>
    </row>
    <row r="505" spans="2:12" ht="12.75">
      <c r="B505" s="170" t="s">
        <v>121</v>
      </c>
      <c r="C505" s="173"/>
      <c r="D505" s="226">
        <f>SUM(Rekenvolumes!E133:L133,Rekenvolumes!E139:L139)</f>
        <v>302523.59254222</v>
      </c>
      <c r="E505" s="165"/>
      <c r="F505" s="165"/>
      <c r="G505" s="165"/>
      <c r="H505" s="165"/>
      <c r="I505" s="165"/>
      <c r="J505" s="165"/>
      <c r="K505" s="165"/>
      <c r="L505" s="165"/>
    </row>
    <row r="506" spans="2:12" ht="12.75">
      <c r="B506" s="170" t="s">
        <v>134</v>
      </c>
      <c r="C506" s="173"/>
      <c r="D506" s="226">
        <f>SUM(Rekenvolumes!E145:L145,Rekenvolumes!E151:L151)</f>
        <v>1122114.0839046654</v>
      </c>
      <c r="E506" s="165"/>
      <c r="F506" s="165"/>
      <c r="G506" s="165"/>
      <c r="H506" s="165"/>
      <c r="I506" s="165"/>
      <c r="J506" s="165"/>
      <c r="K506" s="165"/>
      <c r="L506" s="165"/>
    </row>
    <row r="507" spans="2:12" ht="12.75">
      <c r="B507" s="170" t="s">
        <v>135</v>
      </c>
      <c r="C507" s="173"/>
      <c r="D507" s="226">
        <f>SUM(Rekenvolumes!E157:L157,Rekenvolumes!E163:L163)</f>
        <v>2997741.328553106</v>
      </c>
      <c r="E507" s="165"/>
      <c r="F507" s="165"/>
      <c r="G507" s="165"/>
      <c r="H507" s="165"/>
      <c r="I507" s="165"/>
      <c r="J507" s="165"/>
      <c r="K507" s="165"/>
      <c r="L507" s="165"/>
    </row>
    <row r="508" spans="2:12" ht="12.75">
      <c r="B508" s="170" t="s">
        <v>210</v>
      </c>
      <c r="C508" s="173"/>
      <c r="D508" s="226">
        <f>SUM(Rekenvolumes!E169:L169)</f>
        <v>719364.7448390133</v>
      </c>
      <c r="E508" s="165"/>
      <c r="F508" s="165"/>
      <c r="G508" s="165"/>
      <c r="H508" s="165"/>
      <c r="I508" s="165"/>
      <c r="J508" s="165"/>
      <c r="K508" s="165"/>
      <c r="L508" s="165"/>
    </row>
    <row r="509" spans="2:12" ht="12.75">
      <c r="B509" s="170" t="s">
        <v>212</v>
      </c>
      <c r="C509" s="173"/>
      <c r="D509" s="226">
        <f>SUM(Rekenvolumes!E176:L176)</f>
        <v>8588877.77581525</v>
      </c>
      <c r="E509" s="165"/>
      <c r="F509" s="165"/>
      <c r="G509" s="165"/>
      <c r="H509" s="165"/>
      <c r="I509" s="165"/>
      <c r="J509" s="165"/>
      <c r="K509" s="165"/>
      <c r="L509" s="165"/>
    </row>
    <row r="510" spans="2:12" ht="12.75">
      <c r="B510" s="170" t="s">
        <v>213</v>
      </c>
      <c r="C510" s="173"/>
      <c r="D510" s="226">
        <f>SUM(Rekenvolumes!E183:L183)</f>
        <v>3842126.6830738857</v>
      </c>
      <c r="E510" s="165"/>
      <c r="F510" s="165"/>
      <c r="G510" s="165"/>
      <c r="H510" s="165"/>
      <c r="I510" s="165"/>
      <c r="J510" s="165"/>
      <c r="K510" s="165"/>
      <c r="L510" s="165"/>
    </row>
    <row r="511" spans="3:12" ht="12.75">
      <c r="C511" s="173"/>
      <c r="E511" s="165"/>
      <c r="F511" s="165"/>
      <c r="G511" s="165"/>
      <c r="H511" s="165"/>
      <c r="I511" s="165"/>
      <c r="J511" s="165"/>
      <c r="K511" s="165"/>
      <c r="L511" s="165"/>
    </row>
    <row r="512" spans="2:12" ht="12.75">
      <c r="B512" s="225" t="s">
        <v>130</v>
      </c>
      <c r="C512" s="173"/>
      <c r="E512" s="165"/>
      <c r="F512" s="165"/>
      <c r="G512" s="165"/>
      <c r="H512" s="165"/>
      <c r="I512" s="165"/>
      <c r="J512" s="165"/>
      <c r="K512" s="165"/>
      <c r="L512" s="165"/>
    </row>
    <row r="513" spans="3:12" ht="12.75">
      <c r="C513" s="173"/>
      <c r="E513" s="165"/>
      <c r="F513" s="165"/>
      <c r="G513" s="165"/>
      <c r="H513" s="165"/>
      <c r="I513" s="165"/>
      <c r="J513" s="165"/>
      <c r="K513" s="165"/>
      <c r="L513" s="165"/>
    </row>
    <row r="514" spans="2:12" ht="12.75">
      <c r="B514" s="170" t="s">
        <v>121</v>
      </c>
      <c r="C514" s="173"/>
      <c r="D514" s="166">
        <f aca="true" t="shared" si="35" ref="D514:D519">D496/D505</f>
        <v>16.021356126497327</v>
      </c>
      <c r="E514" s="165"/>
      <c r="F514" s="165"/>
      <c r="G514" s="165"/>
      <c r="H514" s="165"/>
      <c r="I514" s="165"/>
      <c r="J514" s="165"/>
      <c r="K514" s="165"/>
      <c r="L514" s="165"/>
    </row>
    <row r="515" spans="2:12" ht="12.75">
      <c r="B515" s="170" t="s">
        <v>134</v>
      </c>
      <c r="C515" s="173"/>
      <c r="D515" s="166">
        <f t="shared" si="35"/>
        <v>24.02967351084628</v>
      </c>
      <c r="E515" s="165"/>
      <c r="F515" s="165"/>
      <c r="G515" s="165"/>
      <c r="H515" s="165"/>
      <c r="I515" s="165"/>
      <c r="J515" s="165"/>
      <c r="K515" s="165"/>
      <c r="L515" s="165"/>
    </row>
    <row r="516" spans="2:12" ht="12.75">
      <c r="B516" s="170" t="s">
        <v>135</v>
      </c>
      <c r="C516" s="173"/>
      <c r="D516" s="166">
        <f t="shared" si="35"/>
        <v>31.19544565840609</v>
      </c>
      <c r="E516" s="165"/>
      <c r="F516" s="165"/>
      <c r="G516" s="165"/>
      <c r="H516" s="165"/>
      <c r="I516" s="165"/>
      <c r="J516" s="165"/>
      <c r="K516" s="165"/>
      <c r="L516" s="165"/>
    </row>
    <row r="517" spans="2:12" ht="12.75">
      <c r="B517" s="170" t="s">
        <v>210</v>
      </c>
      <c r="C517" s="173"/>
      <c r="D517" s="166">
        <f t="shared" si="35"/>
        <v>35.8473108654338</v>
      </c>
      <c r="E517" s="165"/>
      <c r="F517" s="165"/>
      <c r="G517" s="165"/>
      <c r="H517" s="165"/>
      <c r="I517" s="165"/>
      <c r="J517" s="165"/>
      <c r="K517" s="165"/>
      <c r="L517" s="165"/>
    </row>
    <row r="518" spans="2:12" ht="12.75">
      <c r="B518" s="170" t="s">
        <v>212</v>
      </c>
      <c r="C518" s="173"/>
      <c r="D518" s="166">
        <f t="shared" si="35"/>
        <v>44.01164041572351</v>
      </c>
      <c r="E518" s="165"/>
      <c r="F518" s="165"/>
      <c r="G518" s="165"/>
      <c r="H518" s="165"/>
      <c r="I518" s="165"/>
      <c r="J518" s="165"/>
      <c r="K518" s="165"/>
      <c r="L518" s="165"/>
    </row>
    <row r="519" spans="2:12" ht="12.75">
      <c r="B519" s="170" t="s">
        <v>213</v>
      </c>
      <c r="C519" s="173"/>
      <c r="D519" s="166">
        <f t="shared" si="35"/>
        <v>45.050905167087215</v>
      </c>
      <c r="E519" s="165"/>
      <c r="F519" s="165"/>
      <c r="G519" s="165"/>
      <c r="H519" s="165"/>
      <c r="I519" s="165"/>
      <c r="J519" s="165"/>
      <c r="K519" s="165"/>
      <c r="L519" s="165"/>
    </row>
    <row r="520" spans="3:12" ht="12.75">
      <c r="C520" s="173"/>
      <c r="E520" s="165"/>
      <c r="F520" s="165"/>
      <c r="G520" s="165"/>
      <c r="H520" s="165"/>
      <c r="I520" s="165"/>
      <c r="J520" s="165"/>
      <c r="K520" s="165"/>
      <c r="L520" s="165"/>
    </row>
    <row r="521" spans="2:12" ht="12.75">
      <c r="B521" s="225" t="s">
        <v>131</v>
      </c>
      <c r="C521" s="173"/>
      <c r="E521" s="165"/>
      <c r="F521" s="165"/>
      <c r="G521" s="165"/>
      <c r="H521" s="165"/>
      <c r="I521" s="165"/>
      <c r="J521" s="165"/>
      <c r="K521" s="165"/>
      <c r="L521" s="165"/>
    </row>
    <row r="522" spans="3:12" ht="12.75">
      <c r="C522" s="173"/>
      <c r="E522" s="165"/>
      <c r="F522" s="165"/>
      <c r="G522" s="165"/>
      <c r="H522" s="165"/>
      <c r="I522" s="165"/>
      <c r="J522" s="165"/>
      <c r="K522" s="165"/>
      <c r="L522" s="165"/>
    </row>
    <row r="523" spans="2:12" ht="12.75">
      <c r="B523" s="227" t="s">
        <v>122</v>
      </c>
      <c r="C523" s="173" t="s">
        <v>63</v>
      </c>
      <c r="D523" s="166">
        <f>D515-D514</f>
        <v>8.008317384348953</v>
      </c>
      <c r="E523" s="165"/>
      <c r="F523" s="165"/>
      <c r="G523" s="165"/>
      <c r="H523" s="165"/>
      <c r="I523" s="165"/>
      <c r="J523" s="165"/>
      <c r="K523" s="165"/>
      <c r="L523" s="165"/>
    </row>
    <row r="524" spans="2:12" ht="12.75">
      <c r="B524" s="227" t="s">
        <v>123</v>
      </c>
      <c r="C524" s="173" t="s">
        <v>63</v>
      </c>
      <c r="D524" s="166">
        <f>D516-D514</f>
        <v>15.174089531908763</v>
      </c>
      <c r="E524" s="165"/>
      <c r="F524" s="165"/>
      <c r="G524" s="165"/>
      <c r="H524" s="165"/>
      <c r="I524" s="165"/>
      <c r="J524" s="165"/>
      <c r="K524" s="165"/>
      <c r="L524" s="165"/>
    </row>
    <row r="525" spans="2:12" ht="12.75">
      <c r="B525" s="227" t="s">
        <v>124</v>
      </c>
      <c r="C525" s="173" t="s">
        <v>63</v>
      </c>
      <c r="D525" s="166">
        <f>D517-D515</f>
        <v>11.817637354587518</v>
      </c>
      <c r="E525" s="165"/>
      <c r="F525" s="165"/>
      <c r="G525" s="165"/>
      <c r="H525" s="165"/>
      <c r="I525" s="165"/>
      <c r="J525" s="165"/>
      <c r="K525" s="165"/>
      <c r="L525" s="165"/>
    </row>
    <row r="526" spans="2:12" ht="12.75">
      <c r="B526" s="227" t="s">
        <v>125</v>
      </c>
      <c r="C526" s="173" t="s">
        <v>63</v>
      </c>
      <c r="D526" s="166">
        <f>D518-D515</f>
        <v>19.981966904877233</v>
      </c>
      <c r="E526" s="165"/>
      <c r="F526" s="165"/>
      <c r="G526" s="165"/>
      <c r="H526" s="165"/>
      <c r="I526" s="165"/>
      <c r="J526" s="165"/>
      <c r="K526" s="165"/>
      <c r="L526" s="165"/>
    </row>
    <row r="527" spans="2:12" ht="12.75">
      <c r="B527" s="227" t="s">
        <v>126</v>
      </c>
      <c r="C527" s="173" t="s">
        <v>63</v>
      </c>
      <c r="D527" s="166">
        <f>D519-D515</f>
        <v>21.021231656240936</v>
      </c>
      <c r="E527" s="165"/>
      <c r="F527" s="165"/>
      <c r="G527" s="165"/>
      <c r="H527" s="165"/>
      <c r="I527" s="165"/>
      <c r="J527" s="165"/>
      <c r="K527" s="165"/>
      <c r="L527" s="165"/>
    </row>
    <row r="528" spans="2:12" ht="12.75">
      <c r="B528" s="228"/>
      <c r="C528" s="173"/>
      <c r="D528" s="165"/>
      <c r="E528" s="165"/>
      <c r="F528" s="165"/>
      <c r="G528" s="165"/>
      <c r="H528" s="165"/>
      <c r="I528" s="165"/>
      <c r="J528" s="165"/>
      <c r="K528" s="165"/>
      <c r="L528" s="165"/>
    </row>
    <row r="529" spans="5:12" ht="12.75">
      <c r="E529" s="165"/>
      <c r="F529" s="165"/>
      <c r="G529" s="165"/>
      <c r="H529" s="165"/>
      <c r="I529" s="165"/>
      <c r="J529" s="165"/>
      <c r="K529" s="165"/>
      <c r="L529" s="165"/>
    </row>
    <row r="530" spans="5:12" ht="12.75">
      <c r="E530" s="165"/>
      <c r="F530" s="165"/>
      <c r="G530" s="165"/>
      <c r="H530" s="165"/>
      <c r="I530" s="165"/>
      <c r="J530" s="165"/>
      <c r="K530" s="165"/>
      <c r="L530" s="16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2010-11-24T14:58:30Z</cp:lastPrinted>
  <dcterms:created xsi:type="dcterms:W3CDTF">1996-11-27T13:48:17Z</dcterms:created>
  <dcterms:modified xsi:type="dcterms:W3CDTF">2012-08-29T08:41:04Z</dcterms:modified>
  <cp:category/>
  <cp:version/>
  <cp:contentType/>
  <cp:contentStatus/>
</cp:coreProperties>
</file>